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26"/>
  <workbookPr/>
  <mc:AlternateContent xmlns:mc="http://schemas.openxmlformats.org/markup-compatibility/2006">
    <mc:Choice Requires="x15">
      <x15ac:absPath xmlns:x15ac="http://schemas.microsoft.com/office/spreadsheetml/2010/11/ac" url="W:\SE\Secretaria de Administracao\SA - Secretaria de Administração\1 UNIDADE DE DIÁRIAS E PASSAGENS\2023\Relatórios acumulados\12-2023\"/>
    </mc:Choice>
  </mc:AlternateContent>
  <xr:revisionPtr revIDLastSave="0" documentId="8_{16C7EEC6-D89A-4410-B990-823CB288C8F1}" xr6:coauthVersionLast="47" xr6:coauthVersionMax="47" xr10:uidLastSave="{00000000-0000-0000-0000-000000000000}"/>
  <bookViews>
    <workbookView xWindow="0" yWindow="0" windowWidth="28800" windowHeight="11835" xr2:uid="{00000000-000D-0000-FFFF-FFFF00000000}"/>
  </bookViews>
  <sheets>
    <sheet name="Plan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6" i="1" l="1"/>
  <c r="C295" i="1"/>
  <c r="E252" i="1"/>
  <c r="D252" i="1"/>
  <c r="C249" i="1"/>
  <c r="E229" i="1"/>
  <c r="D229" i="1"/>
  <c r="E126" i="1"/>
  <c r="D126" i="1"/>
  <c r="C102" i="1"/>
  <c r="E70" i="1"/>
  <c r="D70" i="1"/>
  <c r="C70" i="1"/>
  <c r="C54" i="1"/>
  <c r="D45" i="1"/>
  <c r="C45" i="1"/>
  <c r="E324" i="1"/>
  <c r="D324" i="1"/>
  <c r="C324" i="1"/>
  <c r="C315" i="1"/>
  <c r="E311" i="1"/>
  <c r="D311" i="1"/>
  <c r="C311" i="1"/>
  <c r="E302" i="1"/>
  <c r="D302" i="1"/>
  <c r="E294" i="1"/>
  <c r="D294" i="1"/>
  <c r="E292" i="1"/>
  <c r="D292" i="1"/>
  <c r="E283" i="1"/>
  <c r="D283" i="1"/>
  <c r="E276" i="1"/>
  <c r="D276" i="1"/>
  <c r="C276" i="1"/>
  <c r="C264" i="1"/>
  <c r="C252" i="1"/>
  <c r="E249" i="1"/>
  <c r="D249" i="1"/>
  <c r="E246" i="1"/>
  <c r="D246" i="1"/>
  <c r="E244" i="1"/>
  <c r="D244" i="1"/>
  <c r="C244" i="1"/>
  <c r="E238" i="1"/>
  <c r="D238" i="1"/>
  <c r="C229" i="1"/>
  <c r="E220" i="1"/>
  <c r="D220" i="1"/>
  <c r="E219" i="1"/>
  <c r="D219" i="1"/>
  <c r="E201" i="1"/>
  <c r="D201" i="1"/>
  <c r="E199" i="1"/>
  <c r="D199" i="1"/>
  <c r="E188" i="1"/>
  <c r="D188" i="1"/>
  <c r="C188" i="1"/>
  <c r="E166" i="1"/>
  <c r="D166" i="1"/>
  <c r="C161" i="1"/>
  <c r="E160" i="1"/>
  <c r="D160" i="1"/>
  <c r="E155" i="1"/>
  <c r="D155" i="1"/>
  <c r="C155" i="1"/>
  <c r="E151" i="1"/>
  <c r="D151" i="1"/>
  <c r="C151" i="1"/>
  <c r="E145" i="1"/>
  <c r="D145" i="1"/>
  <c r="C145" i="1"/>
  <c r="C140" i="1"/>
  <c r="C126" i="1"/>
  <c r="E113" i="1"/>
  <c r="D113" i="1"/>
  <c r="C113" i="1"/>
  <c r="E108" i="1"/>
  <c r="D108" i="1"/>
  <c r="C108" i="1"/>
  <c r="E102" i="1"/>
  <c r="D102" i="1"/>
  <c r="E89" i="1"/>
  <c r="D89" i="1"/>
  <c r="E83" i="1"/>
  <c r="D83" i="1"/>
  <c r="C83" i="1"/>
  <c r="E54" i="1"/>
  <c r="D54" i="1"/>
  <c r="E51" i="1"/>
  <c r="D51" i="1"/>
  <c r="E47" i="1"/>
  <c r="D47" i="1"/>
  <c r="C47" i="1"/>
  <c r="E45" i="1"/>
  <c r="E41" i="1"/>
  <c r="D41" i="1"/>
  <c r="C41" i="1"/>
  <c r="E27" i="1"/>
  <c r="D27" i="1"/>
  <c r="E94" i="1" l="1"/>
  <c r="D94" i="1"/>
  <c r="E309" i="1"/>
  <c r="E186" i="1"/>
  <c r="D186" i="1"/>
  <c r="E76" i="1"/>
  <c r="D76" i="1"/>
  <c r="D309" i="1"/>
  <c r="E95" i="1"/>
  <c r="D95" i="1"/>
  <c r="E211" i="1"/>
  <c r="D211" i="1"/>
  <c r="E196" i="1"/>
  <c r="D196" i="1"/>
  <c r="E299" i="1"/>
  <c r="E139" i="1"/>
  <c r="E192" i="1"/>
  <c r="E258" i="1"/>
  <c r="E74" i="1"/>
  <c r="E36" i="1"/>
  <c r="E329" i="1"/>
  <c r="D329" i="1"/>
  <c r="C329" i="1"/>
  <c r="E326" i="1"/>
  <c r="D326" i="1"/>
  <c r="E322" i="1"/>
  <c r="D322" i="1"/>
  <c r="E314" i="1"/>
  <c r="D314" i="1"/>
  <c r="C309" i="1"/>
  <c r="E303" i="1"/>
  <c r="D303" i="1"/>
  <c r="C303" i="1"/>
  <c r="C283" i="1"/>
  <c r="C270" i="1"/>
  <c r="E269" i="1"/>
  <c r="D269" i="1"/>
  <c r="E256" i="1"/>
  <c r="D256" i="1"/>
  <c r="C256" i="1"/>
  <c r="C246" i="1"/>
  <c r="C238" i="1"/>
  <c r="C233" i="1"/>
  <c r="E232" i="1"/>
  <c r="D232" i="1"/>
  <c r="C225" i="1"/>
  <c r="E222" i="1"/>
  <c r="D222" i="1"/>
  <c r="C220" i="1"/>
  <c r="C219" i="1"/>
  <c r="C209" i="1"/>
  <c r="E208" i="1"/>
  <c r="D208" i="1"/>
  <c r="C208" i="1"/>
  <c r="C201" i="1"/>
  <c r="C199" i="1"/>
  <c r="C186" i="1"/>
  <c r="E175" i="1"/>
  <c r="D175" i="1"/>
  <c r="C166" i="1"/>
  <c r="E161" i="1"/>
  <c r="D161" i="1"/>
  <c r="E154" i="1"/>
  <c r="D154" i="1"/>
  <c r="E149" i="1"/>
  <c r="D149" i="1"/>
  <c r="C149" i="1"/>
  <c r="E148" i="1"/>
  <c r="D148" i="1"/>
  <c r="E141" i="1"/>
  <c r="D141" i="1"/>
  <c r="D140" i="1"/>
  <c r="D139" i="1"/>
  <c r="C139" i="1"/>
  <c r="E130" i="1"/>
  <c r="D130" i="1"/>
  <c r="E105" i="1"/>
  <c r="D105" i="1"/>
  <c r="C105" i="1"/>
  <c r="C94" i="1"/>
  <c r="C89" i="1"/>
  <c r="E65" i="1"/>
  <c r="D65" i="1"/>
  <c r="E60" i="1"/>
  <c r="D60" i="1"/>
  <c r="C60" i="1"/>
  <c r="C56" i="1"/>
  <c r="C51" i="1"/>
  <c r="E40" i="1"/>
  <c r="D40" i="1"/>
  <c r="E39" i="1"/>
  <c r="D39" i="1"/>
  <c r="C39" i="1"/>
  <c r="E34" i="1"/>
  <c r="D34" i="1"/>
  <c r="C32" i="1"/>
  <c r="C30" i="1"/>
  <c r="C27" i="1"/>
  <c r="E26" i="1"/>
  <c r="D26" i="1"/>
  <c r="C26" i="1"/>
  <c r="E22" i="1"/>
  <c r="D22" i="1"/>
  <c r="C22" i="1"/>
  <c r="E21" i="1"/>
  <c r="D21" i="1"/>
  <c r="E317" i="1"/>
  <c r="D317" i="1"/>
  <c r="C317" i="1"/>
  <c r="C314" i="1"/>
  <c r="C302" i="1"/>
  <c r="E279" i="1"/>
  <c r="D279" i="1"/>
  <c r="E277" i="1"/>
  <c r="D277" i="1"/>
  <c r="E235" i="1"/>
  <c r="D235" i="1"/>
  <c r="C232" i="1"/>
  <c r="E225" i="1"/>
  <c r="D225" i="1"/>
  <c r="C222" i="1"/>
  <c r="C211" i="1"/>
  <c r="E202" i="1"/>
  <c r="D202" i="1"/>
  <c r="C193" i="1"/>
  <c r="C185" i="1"/>
  <c r="C175" i="1"/>
  <c r="C154" i="1"/>
  <c r="C148" i="1"/>
  <c r="E140" i="1"/>
  <c r="E134" i="1"/>
  <c r="D134" i="1"/>
  <c r="C134" i="1"/>
  <c r="C130" i="1"/>
  <c r="C123" i="1"/>
  <c r="E107" i="1"/>
  <c r="D107" i="1"/>
  <c r="C107" i="1"/>
  <c r="E93" i="1"/>
  <c r="D93" i="1"/>
  <c r="E85" i="1"/>
  <c r="D85" i="1"/>
  <c r="C85" i="1"/>
  <c r="E86" i="1"/>
  <c r="D86" i="1"/>
  <c r="C86" i="1"/>
  <c r="E72" i="1"/>
  <c r="D72" i="1"/>
  <c r="C72" i="1"/>
  <c r="C65" i="1"/>
  <c r="E58" i="1"/>
  <c r="D58" i="1"/>
  <c r="C58" i="1"/>
  <c r="E57" i="1"/>
  <c r="D57" i="1"/>
  <c r="C57" i="1"/>
  <c r="E56" i="1"/>
  <c r="D56" i="1"/>
  <c r="E53" i="1"/>
  <c r="D53" i="1"/>
  <c r="C53" i="1"/>
  <c r="C49" i="1"/>
  <c r="D44" i="1"/>
  <c r="E44" i="1"/>
  <c r="E38" i="1"/>
  <c r="D38" i="1"/>
  <c r="C38" i="1"/>
  <c r="C34" i="1"/>
  <c r="C21" i="1"/>
  <c r="D132" i="1"/>
  <c r="E132" i="1"/>
  <c r="E327" i="1" l="1"/>
  <c r="D327" i="1"/>
  <c r="C327" i="1"/>
  <c r="C322" i="1"/>
  <c r="E319" i="1"/>
  <c r="D319" i="1"/>
  <c r="D299" i="1"/>
  <c r="C299" i="1"/>
  <c r="C279" i="1"/>
  <c r="C269" i="1"/>
  <c r="E253" i="1"/>
  <c r="D253" i="1"/>
  <c r="C253" i="1"/>
  <c r="C235" i="1"/>
  <c r="E234" i="1"/>
  <c r="D234" i="1"/>
  <c r="E228" i="1"/>
  <c r="D228" i="1"/>
  <c r="C202" i="1"/>
  <c r="E183" i="1"/>
  <c r="D183" i="1"/>
  <c r="E179" i="1"/>
  <c r="D179" i="1"/>
  <c r="C179" i="1"/>
  <c r="E164" i="1"/>
  <c r="D164" i="1"/>
  <c r="C160" i="1"/>
  <c r="E146" i="1"/>
  <c r="D146" i="1"/>
  <c r="C146" i="1"/>
  <c r="C95" i="1"/>
  <c r="C76" i="1"/>
  <c r="E55" i="1"/>
  <c r="D55" i="1"/>
  <c r="C55" i="1"/>
  <c r="C44" i="1"/>
  <c r="C40" i="1"/>
  <c r="D36" i="1"/>
  <c r="C36" i="1"/>
  <c r="E328" i="1"/>
  <c r="D328" i="1"/>
  <c r="C328" i="1"/>
  <c r="E325" i="1"/>
  <c r="D325" i="1"/>
  <c r="C319" i="1"/>
  <c r="C294" i="1"/>
  <c r="C277" i="1"/>
  <c r="E272" i="1"/>
  <c r="D272" i="1"/>
  <c r="C261" i="1"/>
  <c r="C260" i="1"/>
  <c r="C234" i="1"/>
  <c r="C228" i="1"/>
  <c r="E204" i="1"/>
  <c r="D204" i="1"/>
  <c r="C196" i="1"/>
  <c r="C183" i="1"/>
  <c r="C168" i="1"/>
  <c r="C164" i="1"/>
  <c r="C141" i="1"/>
  <c r="C132" i="1"/>
  <c r="E127" i="1"/>
  <c r="D127" i="1"/>
  <c r="C127" i="1"/>
  <c r="E123" i="1"/>
  <c r="D123" i="1"/>
  <c r="C93" i="1"/>
  <c r="C325" i="1"/>
  <c r="C272" i="1"/>
  <c r="E268" i="1"/>
  <c r="D268" i="1"/>
  <c r="C268" i="1"/>
  <c r="E245" i="1"/>
  <c r="D245" i="1"/>
  <c r="C236" i="1"/>
  <c r="E195" i="1"/>
  <c r="D74" i="1"/>
  <c r="C74" i="1"/>
  <c r="E280" i="1"/>
  <c r="D280" i="1"/>
  <c r="C280" i="1"/>
  <c r="E262" i="1"/>
  <c r="D262" i="1"/>
  <c r="C262" i="1"/>
  <c r="D258" i="1"/>
  <c r="E255" i="1"/>
  <c r="D255" i="1"/>
  <c r="C245" i="1"/>
  <c r="C221" i="1"/>
  <c r="D192" i="1"/>
  <c r="C192" i="1"/>
  <c r="C258" i="1"/>
  <c r="E250" i="1"/>
  <c r="D250" i="1"/>
  <c r="C250" i="1"/>
  <c r="E198" i="1" l="1"/>
  <c r="D198" i="1"/>
  <c r="C198" i="1"/>
  <c r="E187" i="1"/>
  <c r="D187" i="1"/>
  <c r="C187" i="1"/>
  <c r="E241" i="1" l="1"/>
  <c r="D241" i="1"/>
  <c r="E332" i="1"/>
  <c r="C308" i="1" l="1"/>
  <c r="D332" i="1"/>
  <c r="C61" i="1"/>
  <c r="C332" i="1" s="1"/>
</calcChain>
</file>

<file path=xl/sharedStrings.xml><?xml version="1.0" encoding="utf-8"?>
<sst xmlns="http://schemas.openxmlformats.org/spreadsheetml/2006/main" count="646" uniqueCount="355">
  <si>
    <t>Diárias Acumuladas Exercício de 2023</t>
  </si>
  <si>
    <t>Período de Apuração:</t>
  </si>
  <si>
    <t>Diárias e Passagens</t>
  </si>
  <si>
    <t>Nome</t>
  </si>
  <si>
    <t>Cargo</t>
  </si>
  <si>
    <t>Valor Total Passagens</t>
  </si>
  <si>
    <t>Nº de Diárias</t>
  </si>
  <si>
    <t>Valor total Diárias</t>
  </si>
  <si>
    <t>ADRIANA ALVES DOS SANTOS CRUZ</t>
  </si>
  <si>
    <t>COLABORADOR_EVENTUAL</t>
  </si>
  <si>
    <t>ADRIANA SILVEIRA MACHADO</t>
  </si>
  <si>
    <t>MEMBRO_COLABORADOR</t>
  </si>
  <si>
    <t>ADRIANE REIS DE ARAUJO</t>
  </si>
  <si>
    <t>ADMAR FONTES JUNIOR</t>
  </si>
  <si>
    <t>AFONSO DE PAULA PINHEIRO ROCHA</t>
  </si>
  <si>
    <t>ALAOR CARLOS LEITE</t>
  </si>
  <si>
    <t>ALESANDRO GONCALVES BARRETO</t>
  </si>
  <si>
    <t>COLABORADOR EVENTUAL</t>
  </si>
  <si>
    <t>ALESSANDER WILCKSON CABRAL SALES</t>
  </si>
  <si>
    <t>ALESSANDRA MEIRELES SILVA</t>
  </si>
  <si>
    <t>SERVIDOR</t>
  </si>
  <si>
    <t>ALEXANDRA BEURLEN</t>
  </si>
  <si>
    <t>MEMBRO COLABORADOR</t>
  </si>
  <si>
    <t>ALEXANDRA FACCIOLLI MARTINS</t>
  </si>
  <si>
    <t>ALEXANDRE AMARAL GAVRONSKI</t>
  </si>
  <si>
    <t>ALEXANDRE JOSE DE BARROS LEAL SARAIVA</t>
  </si>
  <si>
    <t>MEMBRO_AUXILIAR</t>
  </si>
  <si>
    <t>ALEXANDRE REIS DE CARVALHO</t>
  </si>
  <si>
    <t>ALZIRA MELO COSTA</t>
  </si>
  <si>
    <t>ANA KARINE DE ALMEIDA ANDRADE</t>
  </si>
  <si>
    <t>ANA LARA CAMARGO DE CASTRO</t>
  </si>
  <si>
    <t>ANA MARIA VILLA REAL FERREIRA RAMOS</t>
  </si>
  <si>
    <t>PROCURADOR DO TRABALHO</t>
  </si>
  <si>
    <t>ANA PAULA DE ALMEIDA CASTRO</t>
  </si>
  <si>
    <t>ANA PAULA GALLETTA MACHADO</t>
  </si>
  <si>
    <t>ANA PAULA MACHADO FRANKLIN</t>
  </si>
  <si>
    <t>ANADIR FERREIRA DE SIQUEIRA</t>
  </si>
  <si>
    <t>ANDRE BANDEIRA DE MELO QUEIROZ</t>
  </si>
  <si>
    <t>ANDRE DE CARVALHO RAMOS</t>
  </si>
  <si>
    <t>ANDRE EPIFANIO MARTINS</t>
  </si>
  <si>
    <t>ANDREA MOURA SANTOS SAMPAIO</t>
  </si>
  <si>
    <t>ANDREA TEIXEIRA DE SOUZA</t>
  </si>
  <si>
    <t>ANGELO FABIANO FARIAS DA COSTA</t>
  </si>
  <si>
    <t>MEMBRO_CONSELHEIRO</t>
  </si>
  <si>
    <t>ANTONIA FRANCISCA DE OLIVEIRA</t>
  </si>
  <si>
    <t>ANTONIO AUGUSTO BRANDAO DE ARAS</t>
  </si>
  <si>
    <t>PRESIDENTE DO CNMP</t>
  </si>
  <si>
    <t>ANTONIO DO PASSO CABRAL</t>
  </si>
  <si>
    <t>ANTONIO EDILIO MAGALHAES TEIXEIRA</t>
  </si>
  <si>
    <t>ANTONIO GLEYDSON GADELHA DE MOURA</t>
  </si>
  <si>
    <t>ANTONIO MARCOS DEZAN</t>
  </si>
  <si>
    <t>PROCURADOR DE JUSTIÇA</t>
  </si>
  <si>
    <t>ARETUZA DE ALMEIDA CRUZ</t>
  </si>
  <si>
    <t>PROMOTOR DE JUSTIÇA</t>
  </si>
  <si>
    <t>ARTHUR PINTO DE LEMOS JUNIOR</t>
  </si>
  <si>
    <t>AUGUSTO CARLOS ROCHA DE LIMA</t>
  </si>
  <si>
    <t>AYSHA SELLA CLARO DE OLIVEIRA</t>
  </si>
  <si>
    <t>BERNARDO BARBOSA MATOS</t>
  </si>
  <si>
    <t>BERNARDO MACIEL VIEIRA</t>
  </si>
  <si>
    <t>BERNARDO MORAIS CAVALCANTI</t>
  </si>
  <si>
    <t>BIANCA BERNARDES DE MORAES</t>
  </si>
  <si>
    <t>BIANCA STELLA AZEVEDO BARROSO</t>
  </si>
  <si>
    <t>BRUNA MACHADO DAMACENA RIBEIRO</t>
  </si>
  <si>
    <t>BRUNA VIANA SILVEIRA PAES VALADAO</t>
  </si>
  <si>
    <t>BRUNO DE SOUSA TRINDADE</t>
  </si>
  <si>
    <t>CAMILA MATTOS DE PINHO</t>
  </si>
  <si>
    <t>CAMILA RIBEIRO DIAS</t>
  </si>
  <si>
    <t>CAMILLA DEL ISOLA DINIZ SCHVER</t>
  </si>
  <si>
    <t xml:space="preserve">MEMBRO_AUXILIAR </t>
  </si>
  <si>
    <t>CAMILO ONODA LUIZ CALDAS</t>
  </si>
  <si>
    <t>CARLA SATIE MAEHATA MAGARIO</t>
  </si>
  <si>
    <t>CARLOS EDUARDO DE AZEVEDO LIMA</t>
  </si>
  <si>
    <t>CARLOS EDUARDO FERREIRA PINTO</t>
  </si>
  <si>
    <t>CARLOS LEONARDO HOLANDA SILVA</t>
  </si>
  <si>
    <t>CARLOS MAGNO QUEIROZ DE OLIVEIRA</t>
  </si>
  <si>
    <t>CARLOS MANUEL DE ALMEIDA BLANCO DE MORAS</t>
  </si>
  <si>
    <t>CARLOS VINICIUS ALVES RIBEIRO</t>
  </si>
  <si>
    <t>SECRETÁRIO-GERAL/ MEMBRO_AUXILIAR</t>
  </si>
  <si>
    <t>CARLOS VINICIUS SOARES CABELEIRA</t>
  </si>
  <si>
    <t>PROCURADOR DA REPÚBLICA</t>
  </si>
  <si>
    <t>CAROLINE MACIEL DA COSTA</t>
  </si>
  <si>
    <t>CELSO DE ALBUQUERQUE SILVA</t>
  </si>
  <si>
    <t>PROCURADOR REGIONAL DA REPÚBLICA</t>
  </si>
  <si>
    <t>CELSO JERONIMO DE SOUZA</t>
  </si>
  <si>
    <t>CHIARA MICHELLE RAMOS MOURA DA SILVA</t>
  </si>
  <si>
    <t>CHRISTIANE ROBERTA GOMES DE FARIAS SANTOS</t>
  </si>
  <si>
    <t>CINARA VIANNA DUTRA BRAGA</t>
  </si>
  <si>
    <t>CLARISSA CARLOTTO TORRES</t>
  </si>
  <si>
    <t>CLAUDIO HENRIQUE PORTELA DO REGO</t>
  </si>
  <si>
    <t>CRISTIANE PODGURSKI</t>
  </si>
  <si>
    <t>MEMBRO AUXILIAR</t>
  </si>
  <si>
    <t>CRISTINA NASCIMENTO DE MELO</t>
  </si>
  <si>
    <t>DANIEL AZEVEDO LOBO</t>
  </si>
  <si>
    <t>DANIEL CARNIO COSTA</t>
  </si>
  <si>
    <t>DANIELE LIMA VORAKOSKI</t>
  </si>
  <si>
    <t>DANNI SALES SILVA</t>
  </si>
  <si>
    <t>DEBORA CAVALCANTE BOLELLI</t>
  </si>
  <si>
    <t>DENISE NEVES ABADE</t>
  </si>
  <si>
    <t>DULCERITA SOARES ALVES</t>
  </si>
  <si>
    <t>EDMILSON DE CAMPOS LEITE FILHO</t>
  </si>
  <si>
    <t>EDMUNDO REIS SILVA FILHO</t>
  </si>
  <si>
    <t>EDUARDO FONTICIELHA DE ROSE</t>
  </si>
  <si>
    <t>ELDER XIMENES FILHO</t>
  </si>
  <si>
    <t>ELISA FRAGA DE REGO MONTEIRO</t>
  </si>
  <si>
    <t>ENGELS AUGUSTO MUNIZ</t>
  </si>
  <si>
    <t>ERICK ALVES PESSOA</t>
  </si>
  <si>
    <t>ERNANDES RODRIGUES DA SILVA</t>
  </si>
  <si>
    <t>EVA MARGARIDA BRINQUES DE CARVALHO</t>
  </si>
  <si>
    <t>FABIANA BITTENCOURT GARCIA SOARES DE LIMA</t>
  </si>
  <si>
    <t>FABIANA FREITAS E SILVA DERZIE LUZ</t>
  </si>
  <si>
    <t>FABIO ARAUJO DA COSTA</t>
  </si>
  <si>
    <t>FABIO TEBECHERANI KALAF</t>
  </si>
  <si>
    <t>FABIOLA SUCASAS NEGRAO COVAS</t>
  </si>
  <si>
    <t>FABRICIO FERRAZ PEGO</t>
  </si>
  <si>
    <t>FABRICIO PROENCA DE AZAMBUJA</t>
  </si>
  <si>
    <t>FELIPE TEIXEIRA NETO</t>
  </si>
  <si>
    <t>FERNANDA ALVES POPPL</t>
  </si>
  <si>
    <t>FERNANDA BALBINOT</t>
  </si>
  <si>
    <t>FERNANDO DA SILVA COMIN</t>
  </si>
  <si>
    <t>FERNANDO HENRIQUE ZORZI ZORDAN</t>
  </si>
  <si>
    <t>FERNANDO LEITE NEVES</t>
  </si>
  <si>
    <t>FERNANDO MACHIAVELLI PACHECO</t>
  </si>
  <si>
    <t>PROCURADOR DA JUSTIÇA</t>
  </si>
  <si>
    <t>FERNANDO MARTINS ZAUPA</t>
  </si>
  <si>
    <t>FERNANDO PEREIRA DA SILVA</t>
  </si>
  <si>
    <t>FERNANDO REGIS CEMBRANEL</t>
  </si>
  <si>
    <t>FRANCISCO DE ASSIS MACHADO CARDOSO</t>
  </si>
  <si>
    <t>FREDERICO FRANCO ALVIM</t>
  </si>
  <si>
    <t>GABRIEL DE JESUS TEDESCO WEDY</t>
  </si>
  <si>
    <t>GABRIELLE IBRAHIM LOPES MEIRA LUZ</t>
  </si>
  <si>
    <t>ACOMPANHANTE</t>
  </si>
  <si>
    <t>GEBER MAFRA ROCHA</t>
  </si>
  <si>
    <t>GEORGES LOUIS HAGE HUMBERT</t>
  </si>
  <si>
    <t>GEORGIA IBRAHIM MEIRA LUZ</t>
  </si>
  <si>
    <t>GILBERTO COSTA DE AMORIM JUNIOR</t>
  </si>
  <si>
    <t>GIOVANA BRUNA DOS SANTOS PASSOS</t>
  </si>
  <si>
    <t>GLAUBER SERGIO TATAGIBA DO CARMO</t>
  </si>
  <si>
    <t>GLEICE KELLE SOUZA DE ALMEIDA</t>
  </si>
  <si>
    <t>GREGORIO ASSAGRA DE ALMEIDA</t>
  </si>
  <si>
    <t>GUILHERME ANDRE PACHECO ZATTAR</t>
  </si>
  <si>
    <t>GUSTAVO EMELAU MARCHIORI</t>
  </si>
  <si>
    <t>JUIZ</t>
  </si>
  <si>
    <t>GUSTAVO TENORIO ACCIOLY</t>
  </si>
  <si>
    <t>HENRIQUE NOGUEIRA MACEDO</t>
  </si>
  <si>
    <t>HERMES ZANETI JUNIOR</t>
  </si>
  <si>
    <t>HIZA MARIA SILVA CARPINA LIMA</t>
  </si>
  <si>
    <t>ICARO MONTEIRO MENDES</t>
  </si>
  <si>
    <t>INES GOUVEA VIANA BORGES</t>
  </si>
  <si>
    <t>INGO WOLFGANG SARLET</t>
  </si>
  <si>
    <t>IRABENI NUNES DE OLIVEIRA</t>
  </si>
  <si>
    <t>ISABELITA GARCIA GOMES NETO ROSAS</t>
  </si>
  <si>
    <t>IVANA KIST HUPPES FERRAZZO</t>
  </si>
  <si>
    <t>JACQUELINE OROFINO DA SILVA ZAGO DE OLIVEIRA</t>
  </si>
  <si>
    <t>JAIME DE CASSIO MIRANDA</t>
  </si>
  <si>
    <t>JAIRO BISOL</t>
  </si>
  <si>
    <t>JAIRO CRUZ MOREIRA</t>
  </si>
  <si>
    <t>JANETE APARECIDA GIORGETTI VALENTE</t>
  </si>
  <si>
    <t>JANINE BORGES SOARES</t>
  </si>
  <si>
    <t>JAYME MARTINS DE OLIVEIRA NETO</t>
  </si>
  <si>
    <t>JOAO BARBOSA LIMA</t>
  </si>
  <si>
    <t>JOAO CLAUDIO PIZZATO SIDOU</t>
  </si>
  <si>
    <t>JOAO GASPAR RODRIGUES</t>
  </si>
  <si>
    <t>JOAO LUIZ DE CARVALHO BOTEGA</t>
  </si>
  <si>
    <t>JOAO PAULO SANTOS SCHOUCAIR</t>
  </si>
  <si>
    <t>JOAO SANTA TERRA JUNIOR</t>
  </si>
  <si>
    <t>JOSE ANTONIO MARENGO ORSINI</t>
  </si>
  <si>
    <t xml:space="preserve">JOSE AUGUSTO DE SOUZA </t>
  </si>
  <si>
    <t>JOSE AUGUSTO DE SOUZA PERES FILHO</t>
  </si>
  <si>
    <t>JOSE EDUARDO SABO PAES</t>
  </si>
  <si>
    <t>JOSEANA FRANCA PINTO</t>
  </si>
  <si>
    <t>JOSIAS MENDES DA SILVA</t>
  </si>
  <si>
    <t>JUCELIA FERREIRA DE ALBUQUERQUE</t>
  </si>
  <si>
    <t>JULIA AZEVEDO BARROSO</t>
  </si>
  <si>
    <t>JULIA ROSSI DE CARVALHO SPONCHIADO</t>
  </si>
  <si>
    <t>JULIANA NUNES FELIX</t>
  </si>
  <si>
    <t>JULIO JOSE ARAUJO JUNIOR</t>
  </si>
  <si>
    <t>JULIO MARAVITCH MAURICIO NETO</t>
  </si>
  <si>
    <t>LARISSA BEZERRA LUZ DO VALE CERQUEIRA</t>
  </si>
  <si>
    <t>LARISSA DI GIORNO RIBEIRO SOUSA</t>
  </si>
  <si>
    <t>LARISSA LAGO BARBOSA BEZERRIL</t>
  </si>
  <si>
    <t>LEANDRO ANTONIO SOARES LIMA</t>
  </si>
  <si>
    <t>LELIO SIROLI RIBEIRO</t>
  </si>
  <si>
    <t>LENITA VIOLATO</t>
  </si>
  <si>
    <t>LENNA LUCIANA NUNES DAHER</t>
  </si>
  <si>
    <t>LEONARDO CASTRO MAIA</t>
  </si>
  <si>
    <t>LEONARDO OTREIRA</t>
  </si>
  <si>
    <t>LEONARDO SILVEIRA FRANCESCHIN</t>
  </si>
  <si>
    <t>LILIANE PESSOA SILVA</t>
  </si>
  <si>
    <t>LINDOMAR TIAGO RODRIGUES</t>
  </si>
  <si>
    <t>LIVIA MARIA FIRMINO LEITE</t>
  </si>
  <si>
    <t>LIVIA NASCIMENTO TINOCO</t>
  </si>
  <si>
    <t>LORAINE JACOB MOLINA</t>
  </si>
  <si>
    <t>LORENA BITTENCOURT DE TOLEDO LESSA</t>
  </si>
  <si>
    <t>LUCAS MARQUES TRINDADE</t>
  </si>
  <si>
    <t>LUCIANA CANO CASAROTTO</t>
  </si>
  <si>
    <t>LUCIANA FERNANDES DE FREITAS</t>
  </si>
  <si>
    <t>LUCIANA MARIA DE ARAUJO FREITAS</t>
  </si>
  <si>
    <t>LUCIANA MARINHO SERRA NEGRA</t>
  </si>
  <si>
    <t>LUCIANO FURTADO LOUBET</t>
  </si>
  <si>
    <t>LUCIANO NUNES MAIA FREIRE</t>
  </si>
  <si>
    <t>ASSESSOR DE APOIO INTERINSTITUCIONAL</t>
  </si>
  <si>
    <t>LUIS GUSTAVO MAIA LIMA</t>
  </si>
  <si>
    <t>LUIZ AUGUSTO ARAUJO BECKER</t>
  </si>
  <si>
    <t>LUIZ CLAUDIO DO CARMO DO ESPIRITO SANTO</t>
  </si>
  <si>
    <t>LUIZA BOTELHO BRUNET</t>
  </si>
  <si>
    <t>MABIANE CZARNOBAI MESSAGE</t>
  </si>
  <si>
    <t>MANOEL VERIDIANO FUKUARA REBELLO PINHO</t>
  </si>
  <si>
    <t>MANOEL VICTOR SERENI MURRIETA E TAVARES</t>
  </si>
  <si>
    <t>MARCELA CRISTINA OZORIO</t>
  </si>
  <si>
    <t>MARCELO CRISANTO SOUTO MAIOR</t>
  </si>
  <si>
    <t>MARCELO DE OLIVEIRA SANTOS</t>
  </si>
  <si>
    <t>MARCELO JOSE DE GUIMARAES E MORAES</t>
  </si>
  <si>
    <t>CHEFE DE GABINETE</t>
  </si>
  <si>
    <t>MARCELO LEITE BORGES</t>
  </si>
  <si>
    <t>MARCELO WEITZEL RABELLO DE SOUZA</t>
  </si>
  <si>
    <t>MARCIEL RUBENS DA SILVA</t>
  </si>
  <si>
    <t>MARCIO ANDRADE TORRES</t>
  </si>
  <si>
    <t>MARCIO BARRA LIMA</t>
  </si>
  <si>
    <t>MARCIO COSTA DE ALMEIDA</t>
  </si>
  <si>
    <t>MARCIO EMILIO LEMES BRESSANI</t>
  </si>
  <si>
    <t>MARCIO GONDIM DO NASCIMENTO</t>
  </si>
  <si>
    <t>MARCIO SCHUSTERSCHITZ DA SILVA ARAUJO</t>
  </si>
  <si>
    <t>MARCO ANTONIO LOPES DE ALMEIDA</t>
  </si>
  <si>
    <t>MARCO ANTONIO SANTOS AMORIM</t>
  </si>
  <si>
    <t>MARCOS PAULO DE SOUZA MIRANDA</t>
  </si>
  <si>
    <t>MARCUS AURELIO DE FREITAS BARROS</t>
  </si>
  <si>
    <t>MARIA AMELIA LONARDONI</t>
  </si>
  <si>
    <t>MARIA DA GRACA PERES SOARES AMORIM</t>
  </si>
  <si>
    <t>MARIA DO SOCORRO MILHOMEM MONTEIRO MORO</t>
  </si>
  <si>
    <t>MARIA FERNANDA BESSA MATTOS ALVES</t>
  </si>
  <si>
    <t>MARIANA REIS DE FREITAS</t>
  </si>
  <si>
    <t>MARIANO JEORGE DE SOUSA MELO</t>
  </si>
  <si>
    <t>MARINA AZEVEDO BARROSO</t>
  </si>
  <si>
    <t>MAURICIO AMARAL WANDERLEY</t>
  </si>
  <si>
    <t>MAURICIO COENTRO PAIS DE MELO</t>
  </si>
  <si>
    <t>MEIRY ANDREA BORGES DAVID</t>
  </si>
  <si>
    <t>ACESSORA ESPECIAL</t>
  </si>
  <si>
    <t>MELISSA CACHONI RODRIGUES</t>
  </si>
  <si>
    <t>MICHEL BETENJANE ROMANO</t>
  </si>
  <si>
    <t>MEMBRO-COLABORADOR</t>
  </si>
  <si>
    <t>MICHEL GHERMAN</t>
  </si>
  <si>
    <t>MICHEL MAESANO MANCUELHO</t>
  </si>
  <si>
    <t>MIRELLA DE CARVALHO BAUZYS MONTEIRO</t>
  </si>
  <si>
    <t>MIRIAM VILLAMIL BALESTRO FLORIANO</t>
  </si>
  <si>
    <t>MOACIR GONCALVES NOGUEIRA NETO</t>
  </si>
  <si>
    <t>MOACIR SILVA DO NASCIMENTO JUNIOR</t>
  </si>
  <si>
    <t>MOACYR REY FILHO</t>
  </si>
  <si>
    <t>CONSELHEIRO</t>
  </si>
  <si>
    <t>MONICA DOROTEA BORA</t>
  </si>
  <si>
    <t>PROCURADORA REGIONAL ELEITORAL</t>
  </si>
  <si>
    <t>MONICA REI MOREIRA FREIRE</t>
  </si>
  <si>
    <t>MUNIQUE TEIXEIRA VAZ</t>
  </si>
  <si>
    <t xml:space="preserve"> </t>
  </si>
  <si>
    <t>MURILO ANDRADE DE OLIVEIRA</t>
  </si>
  <si>
    <t>NARA SOARES DANTAS KRUSCHEWSKY</t>
  </si>
  <si>
    <t>NATALIA BERNARDES SENNA VELOSO</t>
  </si>
  <si>
    <t>NATHALIA BRIGIDA GOMES BEZERRA</t>
  </si>
  <si>
    <t>NELSON LACAVA FILHO</t>
  </si>
  <si>
    <t>OCTAVIO CELSO GONDIM PAULO NETO</t>
  </si>
  <si>
    <t>OLIVEIROS GUANAIS DE AGUIAR FILHO</t>
  </si>
  <si>
    <t>OLGA OLIVEIRA BANDEIRA DINIZ</t>
  </si>
  <si>
    <t>OSCAR VILHENA VIEIRA</t>
  </si>
  <si>
    <t>OSMAR MACHADO FERNANDES</t>
  </si>
  <si>
    <t>OSVALDO MESSIAS MACHADO</t>
  </si>
  <si>
    <t>OSWALDO D ALBUQUERQUE LIMA NETO</t>
  </si>
  <si>
    <t>OTAVIO LUIZ RODRIGUES JUNIOR</t>
  </si>
  <si>
    <t>PATRICIA DE AMORIM REGO</t>
  </si>
  <si>
    <t>PATRICIA FERREIRA WANDERLEY DE SIQUEIRA GOULDING</t>
  </si>
  <si>
    <t>PAULA ATAIDE ATHANASIO</t>
  </si>
  <si>
    <t>PAULO AFONSO DE AMORIM FILHO</t>
  </si>
  <si>
    <t xml:space="preserve">JUIZ DE APOIO INTERESTITUCIONAL </t>
  </si>
  <si>
    <t>PAULO CELIO SOARES DA SILVA JUNIOR</t>
  </si>
  <si>
    <t>PAULO CESAR ZENI</t>
  </si>
  <si>
    <t>PAULO CEZAR DOS PASSOS</t>
  </si>
  <si>
    <t>PAULO HENRIQUE MENDONCA DE FREITAS</t>
  </si>
  <si>
    <t>PAULO HENRIQUE VICENTE OLIVEIRA</t>
  </si>
  <si>
    <t>PAULO RENATO ALVES DE MELO CASTRO</t>
  </si>
  <si>
    <t>PAULO ROBERTO GONCALVES ISHIKAWA</t>
  </si>
  <si>
    <t>PAULO VALERIO DAL PAI MORAES</t>
  </si>
  <si>
    <t>PEDRO COLANERI ABI ECAB</t>
  </si>
  <si>
    <t>RACHEL MEDEIROS GERMANO</t>
  </si>
  <si>
    <t>RAFAEL CAVALCANTE CUNHA BEZERRA</t>
  </si>
  <si>
    <t>RAFAEL MEIRA LUZ</t>
  </si>
  <si>
    <t>RAFAEL SCHWEZ KURKOWSKI</t>
  </si>
  <si>
    <t>RAFAELA SANTOS MARTINS DA ROSA</t>
  </si>
  <si>
    <t>REGINA CELIA ALMEIDA SILVA BARBOSA</t>
  </si>
  <si>
    <t>RENAN PAES FELIX</t>
  </si>
  <si>
    <t>RENATA BARROS SOUTO MAIOR BAIAO</t>
  </si>
  <si>
    <t>RENATA DANTAS DE MORAIS E MACEDO</t>
  </si>
  <si>
    <t>RENATA PAES TEIXEIRA</t>
  </si>
  <si>
    <t>RENATA RUTH FERNANDES GOYA MARINHO</t>
  </si>
  <si>
    <t>RENATO BRASILEIRO DE LIMA</t>
  </si>
  <si>
    <t>RENATO DE MELLO JORGE SILVEIRA</t>
  </si>
  <si>
    <t>RENEE DO O SOUZA</t>
  </si>
  <si>
    <t>RICARDO CARON</t>
  </si>
  <si>
    <t>RICARDO CAVALCANTE BARROSO</t>
  </si>
  <si>
    <t>RICARDO DE MELO ALVES</t>
  </si>
  <si>
    <t>RINALDO REIS LIMA</t>
  </si>
  <si>
    <t>ROBERTO ITAJAHY LOPES</t>
  </si>
  <si>
    <t>RODNEY DA SILVA</t>
  </si>
  <si>
    <t>RODRIGO CASTRO DE ALMEIDA BADARÓ</t>
  </si>
  <si>
    <t>RODRIGO CIPRIANO DE ASSIS</t>
  </si>
  <si>
    <t>RODRIGO MONTEIRO DA SILVA</t>
  </si>
  <si>
    <t>ROGERIO GRECO</t>
  </si>
  <si>
    <t>ROGERIO MAGNUS VARELA GONCALVES</t>
  </si>
  <si>
    <t>ROGERIO MEDEIROS GARCIA DE LIMA</t>
  </si>
  <si>
    <t>DESEMBARGADOR</t>
  </si>
  <si>
    <t>ROGERIO SANCHES CUNHA</t>
  </si>
  <si>
    <t>RONALDO BELLO GUIMARAES</t>
  </si>
  <si>
    <t>RONALDO SERGIO CHAVES FERNANDES</t>
  </si>
  <si>
    <t>ROSA HELENA DE SANTANA GIRAO DE MORAIS</t>
  </si>
  <si>
    <t>ROSANE CRISTINA PESSOA MORENO</t>
  </si>
  <si>
    <t>ROSANGELA GASPARI</t>
  </si>
  <si>
    <t>ROSE MEIRE CYRILLO</t>
  </si>
  <si>
    <t>ROSIANE PEREIRA MANCHINI</t>
  </si>
  <si>
    <t>SABRINA LOPES BAES FIGUEIRA FERREIRA</t>
  </si>
  <si>
    <t>SAMMY BARBOSA LOPES</t>
  </si>
  <si>
    <t>SAMUEL DAL FARRA NASPOLINI</t>
  </si>
  <si>
    <t>SANDRA GUERRA MESQUITA</t>
  </si>
  <si>
    <t>SANDRA KRIEGER GONCALVES</t>
  </si>
  <si>
    <t>SANDRO JOSE NEIS</t>
  </si>
  <si>
    <t>SAULO JERONIMO LEITE BARBOSA DE ALMEIDA</t>
  </si>
  <si>
    <t>SEBASTIAO SERGIO DA SILVEIRA</t>
  </si>
  <si>
    <t>SERGIO NAPCHAN</t>
  </si>
  <si>
    <t>SILVIA CHAKIAN DE TOLEDO SANTOS</t>
  </si>
  <si>
    <t>SILVIO ROBERTO OLIVEIRA DE AMORIM JUNIOR</t>
  </si>
  <si>
    <t>SIMONE DISCONSI DE SA CAMPOS</t>
  </si>
  <si>
    <t>SIRLENI FERNANDES DA SILVA</t>
  </si>
  <si>
    <t>STEPHEN KENNETH TALPINS</t>
  </si>
  <si>
    <t>SUZANNA DO CARMO LOUZADA</t>
  </si>
  <si>
    <t>TAIANE NUNES DOS SANTOS</t>
  </si>
  <si>
    <t>TARCILA SANTOS BRITTO GOMES</t>
  </si>
  <si>
    <t>TATIANA DIAS SILVA</t>
  </si>
  <si>
    <t>TATIANA FLAVIA FARIA DE SOUZA</t>
  </si>
  <si>
    <t>THALES CAVALCANTI COELHO</t>
  </si>
  <si>
    <t>THAYS RABELO DA COSTA</t>
  </si>
  <si>
    <t>THIAGO LACERDA NOBRE</t>
  </si>
  <si>
    <t>TICIANE LOUISE SANTANA PEREIRA</t>
  </si>
  <si>
    <t>VALDECI ANTONIO FERREIRA</t>
  </si>
  <si>
    <t>VANESSA FUSCO NOGUEIRA SIMOES</t>
  </si>
  <si>
    <t>VANESSA PATRICIA MACHADO SILVA</t>
  </si>
  <si>
    <t>VANIZE DE FREITAS GUIMARAES</t>
  </si>
  <si>
    <t>VERA LEILANE MOTA ALVES DE SOUZA</t>
  </si>
  <si>
    <t>VERA LUCIA CARAPETO RAPOSO</t>
  </si>
  <si>
    <t>VICTOR CARVALHO VEGGI</t>
  </si>
  <si>
    <t>VINICIUS DIEGO RESENDE DOS SANTOS</t>
  </si>
  <si>
    <t>VINICIUS MENANDRO EVANGELISTA DE SOUZA</t>
  </si>
  <si>
    <t>VITOR WILLIAM DE SOUSA MARCAL</t>
  </si>
  <si>
    <t>VLADIMIR DA MATTA GONCALVES BORGES</t>
  </si>
  <si>
    <t>WALERIA SILVA LEITE</t>
  </si>
  <si>
    <t>WALTER TIYOZO LINZMAYER OTSUKA</t>
  </si>
  <si>
    <t>WILLIAN SERGIO AZEVEDO GUIMARAES</t>
  </si>
  <si>
    <t>WYLTON MASSAO OHARA</t>
  </si>
  <si>
    <t>WESLEY VAZ SILVA</t>
  </si>
  <si>
    <t>TOTAL GERAL: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</si>
</sst>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&quot; &quot;[$R$-416]#,##0.00&quot; &quot;;&quot;-&quot;[$R$-416]#,##0.00&quot; &quot;;&quot; &quot;[$R$-416]&quot;-&quot;00&quot; &quot;;&quot; &quot;@&quot; &quot;"/>
    <numFmt numFmtId="166" formatCode="[$R$-416]&quot; &quot;#,##0.00"/>
    <numFmt numFmtId="167" formatCode="[$R$-416]\ #,##0.00"/>
    <numFmt numFmtId="168" formatCode="d/m/yyyy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NumberFormat="0" applyFont="0" applyBorder="0" applyProtection="0"/>
  </cellStyleXfs>
  <cellXfs count="89">
    <xf numFmtId="0" fontId="0" fillId="0" borderId="0" xfId="0"/>
    <xf numFmtId="0" fontId="0" fillId="0" borderId="1" xfId="0" applyBorder="1"/>
    <xf numFmtId="0" fontId="2" fillId="0" borderId="2" xfId="0" applyFont="1" applyBorder="1"/>
    <xf numFmtId="0" fontId="2" fillId="0" borderId="0" xfId="0" applyFont="1" applyAlignment="1">
      <alignment horizontal="center" vertical="center"/>
    </xf>
    <xf numFmtId="44" fontId="2" fillId="0" borderId="0" xfId="1" applyFont="1"/>
    <xf numFmtId="44" fontId="2" fillId="0" borderId="3" xfId="1" applyFont="1" applyBorder="1"/>
    <xf numFmtId="166" fontId="0" fillId="0" borderId="0" xfId="0" applyNumberFormat="1"/>
    <xf numFmtId="165" fontId="0" fillId="0" borderId="0" xfId="2" applyFont="1" applyFill="1" applyAlignment="1">
      <alignment horizontal="center" vertical="center" wrapText="1"/>
    </xf>
    <xf numFmtId="0" fontId="0" fillId="0" borderId="0" xfId="3" applyFont="1" applyAlignment="1">
      <alignment horizontal="center" vertical="center"/>
    </xf>
    <xf numFmtId="165" fontId="0" fillId="0" borderId="0" xfId="2" applyFont="1" applyFill="1" applyAlignment="1">
      <alignment horizontal="center" vertical="center"/>
    </xf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vertical="center"/>
    </xf>
    <xf numFmtId="44" fontId="1" fillId="0" borderId="0" xfId="1" applyFill="1" applyAlignment="1">
      <alignment horizontal="center" vertical="center"/>
    </xf>
    <xf numFmtId="44" fontId="1" fillId="0" borderId="0" xfId="1" applyFill="1"/>
    <xf numFmtId="167" fontId="0" fillId="0" borderId="0" xfId="0" applyNumberFormat="1"/>
    <xf numFmtId="44" fontId="1" fillId="0" borderId="0" xfId="1"/>
    <xf numFmtId="0" fontId="0" fillId="0" borderId="5" xfId="0" applyBorder="1" applyAlignment="1">
      <alignment horizontal="center" vertical="center"/>
    </xf>
    <xf numFmtId="8" fontId="1" fillId="0" borderId="5" xfId="1" applyNumberFormat="1" applyBorder="1"/>
    <xf numFmtId="164" fontId="1" fillId="0" borderId="5" xfId="1" applyNumberFormat="1" applyBorder="1"/>
    <xf numFmtId="165" fontId="0" fillId="0" borderId="5" xfId="0" applyNumberFormat="1" applyBorder="1"/>
    <xf numFmtId="2" fontId="0" fillId="0" borderId="5" xfId="0" applyNumberFormat="1" applyBorder="1"/>
    <xf numFmtId="164" fontId="0" fillId="0" borderId="5" xfId="0" applyNumberFormat="1" applyBorder="1"/>
    <xf numFmtId="166" fontId="0" fillId="0" borderId="5" xfId="0" applyNumberFormat="1" applyBorder="1"/>
    <xf numFmtId="8" fontId="1" fillId="0" borderId="5" xfId="1" applyNumberFormat="1" applyFill="1" applyBorder="1"/>
    <xf numFmtId="164" fontId="1" fillId="0" borderId="5" xfId="1" applyNumberFormat="1" applyFill="1" applyBorder="1"/>
    <xf numFmtId="168" fontId="0" fillId="0" borderId="8" xfId="0" applyNumberFormat="1" applyBorder="1" applyAlignment="1">
      <alignment horizontal="center" vertical="center" wrapText="1"/>
    </xf>
    <xf numFmtId="8" fontId="0" fillId="0" borderId="5" xfId="0" applyNumberFormat="1" applyBorder="1"/>
    <xf numFmtId="2" fontId="0" fillId="0" borderId="1" xfId="0" applyNumberFormat="1" applyBorder="1"/>
    <xf numFmtId="2" fontId="2" fillId="0" borderId="0" xfId="1" applyNumberFormat="1" applyFont="1"/>
    <xf numFmtId="2" fontId="1" fillId="0" borderId="5" xfId="1" applyNumberFormat="1" applyBorder="1"/>
    <xf numFmtId="2" fontId="1" fillId="0" borderId="5" xfId="1" applyNumberFormat="1" applyFill="1" applyBorder="1"/>
    <xf numFmtId="2" fontId="1" fillId="0" borderId="0" xfId="1" applyNumberFormat="1" applyFill="1"/>
    <xf numFmtId="2" fontId="1" fillId="0" borderId="0" xfId="1" applyNumberForma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164" fontId="1" fillId="0" borderId="0" xfId="1" applyNumberFormat="1" applyBorder="1"/>
    <xf numFmtId="2" fontId="1" fillId="0" borderId="0" xfId="1" applyNumberFormat="1" applyBorder="1"/>
    <xf numFmtId="44" fontId="1" fillId="0" borderId="0" xfId="1" applyBorder="1"/>
    <xf numFmtId="0" fontId="6" fillId="3" borderId="10" xfId="0" applyFont="1" applyFill="1" applyBorder="1" applyAlignment="1">
      <alignment horizontal="center" vertical="center"/>
    </xf>
    <xf numFmtId="2" fontId="6" fillId="3" borderId="9" xfId="0" applyNumberFormat="1" applyFont="1" applyFill="1" applyBorder="1"/>
    <xf numFmtId="164" fontId="6" fillId="3" borderId="9" xfId="0" applyNumberFormat="1" applyFont="1" applyFill="1" applyBorder="1"/>
    <xf numFmtId="8" fontId="4" fillId="0" borderId="11" xfId="0" applyNumberFormat="1" applyFont="1" applyBorder="1"/>
    <xf numFmtId="0" fontId="4" fillId="0" borderId="5" xfId="0" applyFont="1" applyBorder="1"/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8" fontId="4" fillId="0" borderId="5" xfId="0" applyNumberFormat="1" applyFont="1" applyBorder="1"/>
    <xf numFmtId="2" fontId="1" fillId="0" borderId="5" xfId="1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3" fillId="2" borderId="12" xfId="0" applyFont="1" applyFill="1" applyBorder="1" applyAlignment="1">
      <alignment horizontal="center" vertical="center" wrapText="1"/>
    </xf>
    <xf numFmtId="44" fontId="3" fillId="2" borderId="12" xfId="1" applyFont="1" applyFill="1" applyBorder="1" applyAlignment="1">
      <alignment horizontal="center" vertical="center" wrapText="1"/>
    </xf>
    <xf numFmtId="2" fontId="3" fillId="2" borderId="12" xfId="1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8" fontId="1" fillId="0" borderId="11" xfId="1" applyNumberFormat="1" applyBorder="1"/>
    <xf numFmtId="2" fontId="1" fillId="0" borderId="11" xfId="1" applyNumberFormat="1" applyBorder="1"/>
    <xf numFmtId="164" fontId="1" fillId="0" borderId="11" xfId="1" applyNumberFormat="1" applyBorder="1"/>
    <xf numFmtId="2" fontId="4" fillId="0" borderId="5" xfId="1" applyNumberFormat="1" applyFont="1" applyFill="1" applyBorder="1" applyAlignment="1">
      <alignment horizontal="right" vertical="center" wrapText="1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Fill="1" applyBorder="1" applyAlignment="1">
      <alignment horizontal="right" vertical="center" wrapText="1"/>
    </xf>
    <xf numFmtId="8" fontId="1" fillId="0" borderId="5" xfId="1" applyNumberFormat="1" applyBorder="1" applyAlignment="1">
      <alignment wrapText="1"/>
    </xf>
    <xf numFmtId="8" fontId="4" fillId="0" borderId="4" xfId="0" applyNumberFormat="1" applyFont="1" applyBorder="1"/>
    <xf numFmtId="8" fontId="4" fillId="0" borderId="0" xfId="0" applyNumberFormat="1" applyFont="1"/>
    <xf numFmtId="8" fontId="1" fillId="0" borderId="13" xfId="1" applyNumberFormat="1" applyBorder="1"/>
    <xf numFmtId="8" fontId="1" fillId="0" borderId="13" xfId="1" applyNumberFormat="1" applyFill="1" applyBorder="1"/>
    <xf numFmtId="0" fontId="0" fillId="0" borderId="8" xfId="0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 wrapText="1"/>
    </xf>
    <xf numFmtId="165" fontId="0" fillId="0" borderId="13" xfId="0" applyNumberFormat="1" applyBorder="1"/>
    <xf numFmtId="0" fontId="2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68" fontId="6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68" fontId="6" fillId="0" borderId="6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 wrapText="1"/>
    </xf>
    <xf numFmtId="168" fontId="0" fillId="0" borderId="4" xfId="0" applyNumberForma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7" fontId="2" fillId="0" borderId="14" xfId="0" applyNumberFormat="1" applyFont="1" applyBorder="1" applyAlignment="1">
      <alignment horizontal="center"/>
    </xf>
    <xf numFmtId="17" fontId="2" fillId="0" borderId="15" xfId="0" applyNumberFormat="1" applyFont="1" applyBorder="1" applyAlignment="1">
      <alignment horizontal="center"/>
    </xf>
    <xf numFmtId="17" fontId="2" fillId="0" borderId="16" xfId="0" applyNumberFormat="1" applyFont="1" applyBorder="1" applyAlignment="1">
      <alignment horizontal="center"/>
    </xf>
  </cellXfs>
  <cellStyles count="4">
    <cellStyle name="Moeda" xfId="1" builtinId="4"/>
    <cellStyle name="Moed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0</xdr:rowOff>
    </xdr:from>
    <xdr:to>
      <xdr:col>3</xdr:col>
      <xdr:colOff>392118</xdr:colOff>
      <xdr:row>6</xdr:row>
      <xdr:rowOff>169575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5F3559F-1385-453D-8497-0AE9B4A31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71500" y="0"/>
          <a:ext cx="7459668" cy="1312575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4</xdr:col>
      <xdr:colOff>1100818</xdr:colOff>
      <xdr:row>6</xdr:row>
      <xdr:rowOff>171449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11F20338-F52D-4238-8B6F-F5648413F675}"/>
            </a:ext>
            <a:ext uri="{147F2762-F138-4A5C-976F-8EAC2B608ADB}">
              <a16:predDERef xmlns:a16="http://schemas.microsoft.com/office/drawing/2014/main" pred="{75F3559F-1385-453D-8497-0AE9B4A3169D}"/>
            </a:ext>
          </a:extLst>
        </xdr:cNvPr>
        <xdr:cNvSpPr/>
      </xdr:nvSpPr>
      <xdr:spPr>
        <a:xfrm>
          <a:off x="7372350" y="0"/>
          <a:ext cx="1786618" cy="1314449"/>
        </a:xfrm>
        <a:prstGeom prst="rect">
          <a:avLst/>
        </a:prstGeom>
        <a:solidFill>
          <a:srgbClr val="FFFFFF"/>
        </a:solidFill>
        <a:ln w="12701" cap="flat">
          <a:solidFill>
            <a:srgbClr val="FFFFF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0"/>
  <sheetViews>
    <sheetView tabSelected="1" topLeftCell="A323" zoomScaleNormal="100" workbookViewId="0">
      <selection activeCell="C327" sqref="C327"/>
    </sheetView>
  </sheetViews>
  <sheetFormatPr defaultRowHeight="15"/>
  <cols>
    <col min="1" max="1" width="50.5703125" bestFit="1" customWidth="1"/>
    <col min="2" max="2" width="43.7109375" style="12" customWidth="1"/>
    <col min="3" max="3" width="20.28515625" style="16" bestFit="1" customWidth="1"/>
    <col min="4" max="4" width="13.28515625" style="33" bestFit="1" customWidth="1"/>
    <col min="5" max="5" width="16.5703125" style="16" bestFit="1" customWidth="1"/>
    <col min="6" max="7" width="12.140625" bestFit="1" customWidth="1"/>
    <col min="8" max="9" width="13.28515625" bestFit="1" customWidth="1"/>
    <col min="10" max="10" width="13.140625" bestFit="1" customWidth="1"/>
    <col min="11" max="11" width="9.140625" customWidth="1"/>
  </cols>
  <sheetData>
    <row r="1" spans="1:7">
      <c r="B1"/>
      <c r="C1"/>
      <c r="D1" s="11"/>
      <c r="E1"/>
    </row>
    <row r="2" spans="1:7">
      <c r="B2"/>
      <c r="C2"/>
      <c r="D2" s="11"/>
      <c r="E2"/>
    </row>
    <row r="3" spans="1:7">
      <c r="B3"/>
      <c r="C3"/>
      <c r="D3" s="11"/>
      <c r="E3"/>
    </row>
    <row r="4" spans="1:7">
      <c r="B4"/>
      <c r="C4"/>
      <c r="D4" s="11"/>
      <c r="E4"/>
    </row>
    <row r="5" spans="1:7">
      <c r="B5"/>
      <c r="C5"/>
      <c r="D5" s="11"/>
      <c r="E5"/>
    </row>
    <row r="6" spans="1:7">
      <c r="B6"/>
      <c r="C6"/>
      <c r="D6" s="11"/>
      <c r="E6"/>
    </row>
    <row r="7" spans="1:7">
      <c r="A7" s="1"/>
      <c r="B7" s="1"/>
      <c r="C7" s="1"/>
      <c r="D7" s="28"/>
      <c r="E7" s="1"/>
    </row>
    <row r="8" spans="1:7">
      <c r="A8" s="80" t="s">
        <v>0</v>
      </c>
      <c r="B8" s="81"/>
      <c r="C8" s="81"/>
      <c r="D8" s="81"/>
      <c r="E8" s="82"/>
    </row>
    <row r="9" spans="1:7">
      <c r="A9" s="83" t="s">
        <v>1</v>
      </c>
      <c r="B9" s="84"/>
      <c r="C9" s="84"/>
      <c r="D9" s="84"/>
      <c r="E9" s="85"/>
    </row>
    <row r="10" spans="1:7">
      <c r="A10" s="2"/>
      <c r="B10" s="3"/>
      <c r="C10" s="4"/>
      <c r="D10" s="29"/>
      <c r="E10" s="5"/>
    </row>
    <row r="11" spans="1:7">
      <c r="A11" s="83" t="s">
        <v>2</v>
      </c>
      <c r="B11" s="84"/>
      <c r="C11" s="84"/>
      <c r="D11" s="84"/>
      <c r="E11" s="85"/>
    </row>
    <row r="12" spans="1:7">
      <c r="A12" s="86">
        <v>45261</v>
      </c>
      <c r="B12" s="87"/>
      <c r="C12" s="87"/>
      <c r="D12" s="87"/>
      <c r="E12" s="88"/>
    </row>
    <row r="13" spans="1:7" ht="31.5">
      <c r="A13" s="52" t="s">
        <v>3</v>
      </c>
      <c r="B13" s="52" t="s">
        <v>4</v>
      </c>
      <c r="C13" s="53" t="s">
        <v>5</v>
      </c>
      <c r="D13" s="54" t="s">
        <v>6</v>
      </c>
      <c r="E13" s="53" t="s">
        <v>7</v>
      </c>
      <c r="G13" s="34"/>
    </row>
    <row r="14" spans="1:7">
      <c r="A14" s="70" t="s">
        <v>8</v>
      </c>
      <c r="B14" s="48" t="s">
        <v>9</v>
      </c>
      <c r="C14" s="61">
        <v>1283.46</v>
      </c>
      <c r="D14" s="59">
        <v>1.5</v>
      </c>
      <c r="E14" s="60">
        <v>1820.93</v>
      </c>
      <c r="G14" s="34"/>
    </row>
    <row r="15" spans="1:7">
      <c r="A15" s="70" t="s">
        <v>10</v>
      </c>
      <c r="B15" s="17" t="s">
        <v>11</v>
      </c>
      <c r="C15" s="61">
        <v>2826.6</v>
      </c>
      <c r="D15" s="59">
        <v>2.5</v>
      </c>
      <c r="E15" s="60">
        <v>3433.07</v>
      </c>
      <c r="G15" s="34"/>
    </row>
    <row r="16" spans="1:7">
      <c r="A16" s="70" t="s">
        <v>12</v>
      </c>
      <c r="B16" s="17" t="s">
        <v>11</v>
      </c>
      <c r="C16" s="61">
        <v>1369.05</v>
      </c>
      <c r="D16" s="59">
        <v>0</v>
      </c>
      <c r="E16" s="60">
        <v>0</v>
      </c>
      <c r="G16" s="34"/>
    </row>
    <row r="17" spans="1:5">
      <c r="A17" s="71" t="s">
        <v>13</v>
      </c>
      <c r="B17" s="48" t="s">
        <v>9</v>
      </c>
      <c r="C17" s="18">
        <v>884.63</v>
      </c>
      <c r="D17" s="30">
        <v>1.5</v>
      </c>
      <c r="E17" s="19">
        <v>1147.78</v>
      </c>
    </row>
    <row r="18" spans="1:5">
      <c r="A18" s="71" t="s">
        <v>14</v>
      </c>
      <c r="B18" s="17" t="s">
        <v>11</v>
      </c>
      <c r="C18" s="18">
        <v>1996.24</v>
      </c>
      <c r="D18" s="30">
        <v>0.5</v>
      </c>
      <c r="E18" s="19">
        <v>785.03</v>
      </c>
    </row>
    <row r="19" spans="1:5">
      <c r="A19" s="71" t="s">
        <v>15</v>
      </c>
      <c r="B19" s="17" t="s">
        <v>9</v>
      </c>
      <c r="C19" s="18">
        <v>9400.4599999999991</v>
      </c>
      <c r="D19" s="30">
        <v>3.5</v>
      </c>
      <c r="E19" s="19">
        <v>2166.5</v>
      </c>
    </row>
    <row r="20" spans="1:5">
      <c r="A20" s="72" t="s">
        <v>16</v>
      </c>
      <c r="B20" s="17" t="s">
        <v>17</v>
      </c>
      <c r="C20" s="18">
        <v>1306.3599999999999</v>
      </c>
      <c r="D20" s="30">
        <v>1.5</v>
      </c>
      <c r="E20" s="19">
        <v>1172.5</v>
      </c>
    </row>
    <row r="21" spans="1:5">
      <c r="A21" s="71" t="s">
        <v>18</v>
      </c>
      <c r="B21" s="17" t="s">
        <v>11</v>
      </c>
      <c r="C21" s="62">
        <f>1552.41+1203.37+1394+1543.39+2329.13+3458.49</f>
        <v>11480.79</v>
      </c>
      <c r="D21" s="30">
        <f>4.5+2.5+0.5+3.5</f>
        <v>11</v>
      </c>
      <c r="E21" s="19">
        <f>5573.83+3111.57+785.03+4193.63</f>
        <v>13664.060000000001</v>
      </c>
    </row>
    <row r="22" spans="1:5">
      <c r="A22" s="72" t="s">
        <v>19</v>
      </c>
      <c r="B22" s="17" t="s">
        <v>20</v>
      </c>
      <c r="C22" s="18">
        <f>1843.39+1375.54+5587.55+4378.5+7313.6+2586.64+626.67+9045.49+5031.36+4286.29+5959.71</f>
        <v>48034.74</v>
      </c>
      <c r="D22" s="30">
        <f>5.5+3.5+4.5+4.5+7+10.5+7+8+6</f>
        <v>56.5</v>
      </c>
      <c r="E22" s="19">
        <f>3441.65+2193.94+2758.8+2812.94+4387.88+41.37+6581.82+4387.88+5006.88+3823.02</f>
        <v>35436.18</v>
      </c>
    </row>
    <row r="23" spans="1:5">
      <c r="A23" s="72" t="s">
        <v>21</v>
      </c>
      <c r="B23" s="17" t="s">
        <v>22</v>
      </c>
      <c r="C23" s="18">
        <v>3445.44</v>
      </c>
      <c r="D23" s="30">
        <v>2.5</v>
      </c>
      <c r="E23" s="19">
        <v>3054.76</v>
      </c>
    </row>
    <row r="24" spans="1:5">
      <c r="A24" s="72" t="s">
        <v>23</v>
      </c>
      <c r="B24" s="17" t="s">
        <v>11</v>
      </c>
      <c r="C24" s="18">
        <v>2234.19</v>
      </c>
      <c r="D24" s="30">
        <v>0.5</v>
      </c>
      <c r="E24" s="19">
        <v>755.48</v>
      </c>
    </row>
    <row r="25" spans="1:5">
      <c r="A25" s="72" t="s">
        <v>24</v>
      </c>
      <c r="B25" s="17" t="s">
        <v>11</v>
      </c>
      <c r="C25" s="18">
        <v>1038.3399999999999</v>
      </c>
      <c r="D25" s="30">
        <v>2.5</v>
      </c>
      <c r="E25" s="19">
        <v>3214.06</v>
      </c>
    </row>
    <row r="26" spans="1:5">
      <c r="A26" s="73" t="s">
        <v>25</v>
      </c>
      <c r="B26" s="17" t="s">
        <v>26</v>
      </c>
      <c r="C26" s="20">
        <f>0+1015.46+2535.4+1489.06+1189.5+5769.87+1984.13+4778.39+5171.6</f>
        <v>23933.410000000003</v>
      </c>
      <c r="D26" s="21">
        <f>4.5+2.5+4.5+7.5+3.5+3.5+2.5+2.5+1.5</f>
        <v>32.5</v>
      </c>
      <c r="E26" s="22">
        <f>5504.15+2889+5292.62+9452.32+4412.91+4412.91+3214.06+3146.2+2069.35</f>
        <v>40393.519999999997</v>
      </c>
    </row>
    <row r="27" spans="1:5">
      <c r="A27" s="74" t="s">
        <v>27</v>
      </c>
      <c r="B27" s="55" t="s">
        <v>26</v>
      </c>
      <c r="C27" s="56">
        <f>1229.38+2371.65+13041.51+1179.27+1934.16+8555.7+3160.5+7765.2+2242.8</f>
        <v>41480.170000000006</v>
      </c>
      <c r="D27" s="57">
        <f>2.5+4.5+11.5+9+8+10+7+4.5+9+12+4.5+7.5</f>
        <v>90</v>
      </c>
      <c r="E27" s="58">
        <f>2889+5026.66+12942.32+10882.23+9523.46+11850+8387.26+5329.83+10713.8+14230.68+5329.83+9208.31</f>
        <v>106313.37999999999</v>
      </c>
    </row>
    <row r="28" spans="1:5">
      <c r="A28" s="75" t="s">
        <v>28</v>
      </c>
      <c r="B28" s="17" t="s">
        <v>11</v>
      </c>
      <c r="C28" s="18">
        <v>4920.1000000000004</v>
      </c>
      <c r="D28" s="30">
        <v>2.5</v>
      </c>
      <c r="E28" s="19">
        <v>2889</v>
      </c>
    </row>
    <row r="29" spans="1:5">
      <c r="A29" s="75" t="s">
        <v>29</v>
      </c>
      <c r="B29" s="17" t="s">
        <v>20</v>
      </c>
      <c r="C29" s="18">
        <v>2785.46</v>
      </c>
      <c r="D29" s="30">
        <v>4.5</v>
      </c>
      <c r="E29" s="19">
        <v>2758.8</v>
      </c>
    </row>
    <row r="30" spans="1:5">
      <c r="A30" s="75" t="s">
        <v>30</v>
      </c>
      <c r="B30" s="17" t="s">
        <v>26</v>
      </c>
      <c r="C30" s="18">
        <f>629.4+1021.33</f>
        <v>1650.73</v>
      </c>
      <c r="D30" s="30">
        <v>4.5</v>
      </c>
      <c r="E30" s="19">
        <v>5045.25</v>
      </c>
    </row>
    <row r="31" spans="1:5">
      <c r="A31" s="75" t="s">
        <v>31</v>
      </c>
      <c r="B31" s="17" t="s">
        <v>32</v>
      </c>
      <c r="C31" s="18">
        <v>0</v>
      </c>
      <c r="D31" s="30">
        <v>1.5</v>
      </c>
      <c r="E31" s="19">
        <v>1677.23</v>
      </c>
    </row>
    <row r="32" spans="1:5">
      <c r="A32" s="75" t="s">
        <v>33</v>
      </c>
      <c r="B32" s="17" t="s">
        <v>9</v>
      </c>
      <c r="C32" s="18">
        <f>1175.92+1442.3</f>
        <v>2618.2200000000003</v>
      </c>
      <c r="D32" s="30">
        <v>0</v>
      </c>
      <c r="E32" s="19">
        <v>0</v>
      </c>
    </row>
    <row r="33" spans="1:7">
      <c r="A33" s="75" t="s">
        <v>34</v>
      </c>
      <c r="B33" s="17" t="s">
        <v>9</v>
      </c>
      <c r="C33" s="18">
        <v>3020.15</v>
      </c>
      <c r="D33" s="30">
        <v>1.5</v>
      </c>
      <c r="E33" s="19">
        <v>1072.5</v>
      </c>
    </row>
    <row r="34" spans="1:7">
      <c r="A34" s="75" t="s">
        <v>35</v>
      </c>
      <c r="B34" s="17" t="s">
        <v>26</v>
      </c>
      <c r="C34" s="18">
        <f>1045.39+2564.88+3515.77</f>
        <v>7126.0400000000009</v>
      </c>
      <c r="D34" s="30">
        <f>3.5+2.5+4.5+2.5</f>
        <v>13</v>
      </c>
      <c r="E34" s="19">
        <f>4245.19+3054.85+5380.53+3109.85</f>
        <v>15790.42</v>
      </c>
    </row>
    <row r="35" spans="1:7">
      <c r="A35" s="75" t="s">
        <v>36</v>
      </c>
      <c r="B35" s="17" t="s">
        <v>20</v>
      </c>
      <c r="C35" s="18">
        <v>2005.96</v>
      </c>
      <c r="D35" s="30">
        <v>3.5</v>
      </c>
      <c r="E35" s="19">
        <v>2193.94</v>
      </c>
    </row>
    <row r="36" spans="1:7">
      <c r="A36" s="75" t="s">
        <v>37</v>
      </c>
      <c r="B36" s="17" t="s">
        <v>26</v>
      </c>
      <c r="C36" s="18">
        <f>1937.39+1615.54+903.66+5629.26+5498.29+978.5+766.04</f>
        <v>17328.68</v>
      </c>
      <c r="D36" s="30">
        <f>5.5+3.5+3.5+8+4+4.5+3.5</f>
        <v>32.5</v>
      </c>
      <c r="E36" s="19">
        <f>6401.39+3805.93+4134.99+9391.52+4879.95+68.8+5169.45+4101.11</f>
        <v>37953.14</v>
      </c>
    </row>
    <row r="37" spans="1:7">
      <c r="A37" s="75" t="s">
        <v>38</v>
      </c>
      <c r="B37" s="17" t="s">
        <v>9</v>
      </c>
      <c r="C37" s="18">
        <v>3530.46</v>
      </c>
      <c r="D37" s="30">
        <v>1.5</v>
      </c>
      <c r="E37" s="19">
        <v>1908.83</v>
      </c>
    </row>
    <row r="38" spans="1:7">
      <c r="A38" s="76" t="s">
        <v>39</v>
      </c>
      <c r="B38" s="17" t="s">
        <v>26</v>
      </c>
      <c r="C38" s="20">
        <f>2769.84+14731.42+2272.55+2146.45+6254.06+13508.32+4755.98</f>
        <v>46438.619999999995</v>
      </c>
      <c r="D38" s="21">
        <f>4.5+2.5+12.5+3.5+6+8.5+7.5+5.5</f>
        <v>50.5</v>
      </c>
      <c r="E38" s="22">
        <f>4786.91+2745.15+15891.05+4001.83+6915.41+9931.08+8842.83+5946.33</f>
        <v>59060.590000000011</v>
      </c>
    </row>
    <row r="39" spans="1:7">
      <c r="A39" s="76" t="s">
        <v>40</v>
      </c>
      <c r="B39" s="17" t="s">
        <v>26</v>
      </c>
      <c r="C39" s="20">
        <f>5984.64+1890.57+1101.38+3114.84</f>
        <v>12091.43</v>
      </c>
      <c r="D39" s="21">
        <f>7+3.5+3.5+2</f>
        <v>16</v>
      </c>
      <c r="E39" s="22">
        <f>5534.66+3955.63+3833.63+2321.04</f>
        <v>15644.960000000003</v>
      </c>
    </row>
    <row r="40" spans="1:7">
      <c r="A40" s="76" t="s">
        <v>41</v>
      </c>
      <c r="B40" s="17" t="s">
        <v>26</v>
      </c>
      <c r="C40" s="19">
        <f>788.46+5569.03</f>
        <v>6357.49</v>
      </c>
      <c r="D40" s="30">
        <f>4.5+2.5+3.5+4.5</f>
        <v>15</v>
      </c>
      <c r="E40" s="19">
        <f>9852.81+2911.45+3947.59+4983.73</f>
        <v>21695.579999999998</v>
      </c>
    </row>
    <row r="41" spans="1:7">
      <c r="A41" s="75" t="s">
        <v>42</v>
      </c>
      <c r="B41" s="17" t="s">
        <v>43</v>
      </c>
      <c r="C41" s="18">
        <f>0+8043.33+12108.62+5104.87+9600.3+6393.79+15466.7+5285.47+6837.53+4075.58+2913.41</f>
        <v>75829.600000000006</v>
      </c>
      <c r="D41" s="30">
        <f>6.5+7+7.5+7.5+8.5+1.5+5+8.5+8.5+7.5+2.5+1</f>
        <v>71.5</v>
      </c>
      <c r="E41" s="19">
        <f>14800.46+8331.04+8790.75+9458.93+10723.73+1870.13+6406.74+10723.73+10737.45+9702.93+3134.93+1264.8</f>
        <v>95945.619999999981</v>
      </c>
    </row>
    <row r="42" spans="1:7">
      <c r="A42" s="75" t="s">
        <v>44</v>
      </c>
      <c r="B42" s="17" t="s">
        <v>20</v>
      </c>
      <c r="C42" s="18">
        <v>9077.43</v>
      </c>
      <c r="D42" s="30">
        <v>5</v>
      </c>
      <c r="E42" s="19">
        <v>3337.54</v>
      </c>
      <c r="G42" s="6"/>
    </row>
    <row r="43" spans="1:7">
      <c r="A43" s="75" t="s">
        <v>45</v>
      </c>
      <c r="B43" s="17" t="s">
        <v>46</v>
      </c>
      <c r="C43" s="18">
        <v>25422.04</v>
      </c>
      <c r="D43" s="30">
        <v>0</v>
      </c>
      <c r="E43" s="19">
        <v>0</v>
      </c>
      <c r="G43" s="6"/>
    </row>
    <row r="44" spans="1:7">
      <c r="A44" s="77" t="s">
        <v>47</v>
      </c>
      <c r="B44" s="17" t="s">
        <v>11</v>
      </c>
      <c r="C44" s="20">
        <f>1782.12+2108+1742.08</f>
        <v>5632.2</v>
      </c>
      <c r="D44" s="21">
        <f>2.5+0.5</f>
        <v>3</v>
      </c>
      <c r="E44" s="22">
        <f>3057.43+785.03</f>
        <v>3842.46</v>
      </c>
      <c r="G44" s="6"/>
    </row>
    <row r="45" spans="1:7">
      <c r="A45" s="77" t="s">
        <v>48</v>
      </c>
      <c r="B45" s="17" t="s">
        <v>43</v>
      </c>
      <c r="C45" s="20">
        <f>4638.59+15681.46+15627.06+10603.42+10002.15+12004.07+8091.61+19582.48+11205.56+27547.52+8389.3+2845.64</f>
        <v>146218.85999999999</v>
      </c>
      <c r="D45" s="21">
        <f>13.5+7.5+11+14.5+10.5+12.5+11.5+5.5+12.5+16+13+7</f>
        <v>135</v>
      </c>
      <c r="E45" s="22">
        <f>25669.46+9631.04+13769.49+18975.61+14325.69+16460.79+15413.5+8695.85+16569.07+28120.8+17554.12+9341.6</f>
        <v>194527.02000000002</v>
      </c>
      <c r="G45" s="6"/>
    </row>
    <row r="46" spans="1:7">
      <c r="A46" s="77" t="s">
        <v>49</v>
      </c>
      <c r="B46" s="17" t="s">
        <v>22</v>
      </c>
      <c r="C46" s="20">
        <v>1188.06</v>
      </c>
      <c r="D46" s="21">
        <v>2.5</v>
      </c>
      <c r="E46" s="22">
        <v>3057.43</v>
      </c>
      <c r="G46" s="6"/>
    </row>
    <row r="47" spans="1:7">
      <c r="A47" s="77" t="s">
        <v>50</v>
      </c>
      <c r="B47" s="17" t="s">
        <v>51</v>
      </c>
      <c r="C47" s="20">
        <f>2357.2+2122.24</f>
        <v>4479.4399999999996</v>
      </c>
      <c r="D47" s="21">
        <f>1.5+2.5</f>
        <v>4</v>
      </c>
      <c r="E47" s="22">
        <f>2015.21+3378.93</f>
        <v>5394.1399999999994</v>
      </c>
      <c r="G47" s="6"/>
    </row>
    <row r="48" spans="1:7">
      <c r="A48" s="77" t="s">
        <v>52</v>
      </c>
      <c r="B48" s="17" t="s">
        <v>53</v>
      </c>
      <c r="C48" s="20">
        <v>3571.74</v>
      </c>
      <c r="D48" s="21">
        <v>3.5</v>
      </c>
      <c r="E48" s="22">
        <v>3726.75</v>
      </c>
      <c r="G48" s="6"/>
    </row>
    <row r="49" spans="1:7">
      <c r="A49" s="77" t="s">
        <v>54</v>
      </c>
      <c r="B49" s="17" t="s">
        <v>11</v>
      </c>
      <c r="C49" s="51">
        <f>2024.1+1063.26</f>
        <v>3087.3599999999997</v>
      </c>
      <c r="D49" s="21">
        <v>1.5</v>
      </c>
      <c r="E49" s="22">
        <v>2014.39</v>
      </c>
      <c r="G49" s="6"/>
    </row>
    <row r="50" spans="1:7">
      <c r="A50" s="77" t="s">
        <v>55</v>
      </c>
      <c r="B50" s="17" t="s">
        <v>11</v>
      </c>
      <c r="C50" s="51">
        <v>3962.52</v>
      </c>
      <c r="D50" s="21">
        <v>1.5</v>
      </c>
      <c r="E50" s="22">
        <v>1874.97</v>
      </c>
      <c r="G50" s="6"/>
    </row>
    <row r="51" spans="1:7">
      <c r="A51" s="76" t="s">
        <v>56</v>
      </c>
      <c r="B51" s="17" t="s">
        <v>26</v>
      </c>
      <c r="C51" s="20">
        <f>0+8325.17+4866.42+1519+1782.24+1999.37+3487.02+3080.48+8074.6</f>
        <v>33134.300000000003</v>
      </c>
      <c r="D51" s="21">
        <f>3.5+13+6+10.5+6+9+3.5+3.5+8+4.5+7+4.5</f>
        <v>79</v>
      </c>
      <c r="E51" s="22">
        <f>3984.03+14664.72+5257.11+12614.08+7172.17+9416.37+4053.79+4053.79+9208.82+5155.03+8107.25+5155.03</f>
        <v>88842.19</v>
      </c>
      <c r="G51" s="6"/>
    </row>
    <row r="52" spans="1:7">
      <c r="A52" s="76" t="s">
        <v>57</v>
      </c>
      <c r="B52" s="79" t="s">
        <v>53</v>
      </c>
      <c r="C52" s="20">
        <v>3268.24</v>
      </c>
      <c r="D52" s="21">
        <v>2.5</v>
      </c>
      <c r="E52" s="22">
        <v>3057.43</v>
      </c>
      <c r="G52" s="6"/>
    </row>
    <row r="53" spans="1:7">
      <c r="A53" s="76" t="s">
        <v>58</v>
      </c>
      <c r="B53" s="17" t="s">
        <v>26</v>
      </c>
      <c r="C53" s="20">
        <f>2804.96+1295.56+1046.04+2488.33+1441.09+5487.35</f>
        <v>14563.33</v>
      </c>
      <c r="D53" s="21">
        <f>4.5+3.5+6+3.5+4.5+7</f>
        <v>29</v>
      </c>
      <c r="E53" s="22">
        <f>4697.36+3930.19+6790.04+3930.19+5000.53+7860.38</f>
        <v>32208.69</v>
      </c>
      <c r="G53" s="6"/>
    </row>
    <row r="54" spans="1:7">
      <c r="A54" s="76" t="s">
        <v>59</v>
      </c>
      <c r="B54" s="17" t="s">
        <v>11</v>
      </c>
      <c r="C54" s="20">
        <f>5579.74+4110.08+6165.12+9923.77+2055.04+9362.82+4734.08+2055.04</f>
        <v>43985.69</v>
      </c>
      <c r="D54" s="21">
        <f>2.5+4.5+5.5+4.5+3.5+0.5+8.5+4.5+2</f>
        <v>36</v>
      </c>
      <c r="E54" s="22">
        <f>2642.42+5325.53+6161.87+5081.53+4080.19+784.17+9811.89+5459.53+2215.68</f>
        <v>41562.80999999999</v>
      </c>
      <c r="G54" s="6"/>
    </row>
    <row r="55" spans="1:7">
      <c r="A55" s="76" t="s">
        <v>60</v>
      </c>
      <c r="B55" s="17" t="s">
        <v>53</v>
      </c>
      <c r="C55" s="20">
        <f>4528.77+3129.37</f>
        <v>7658.14</v>
      </c>
      <c r="D55" s="21">
        <f>3.5+3.5</f>
        <v>7</v>
      </c>
      <c r="E55" s="22">
        <f>3946.03+3726.75</f>
        <v>7672.7800000000007</v>
      </c>
      <c r="G55" s="6"/>
    </row>
    <row r="56" spans="1:7">
      <c r="A56" s="76" t="s">
        <v>61</v>
      </c>
      <c r="B56" s="17" t="s">
        <v>26</v>
      </c>
      <c r="C56" s="18">
        <f>8895.29+3695.91+8871.82+1339.31+1558.42+1866.33+2498.06+1284.73+1265</f>
        <v>31274.870000000003</v>
      </c>
      <c r="D56" s="30">
        <f>5+7+6+1+9+1.5</f>
        <v>29.5</v>
      </c>
      <c r="E56" s="19">
        <f>5591.76+7667.34+6629.55+1349.16+10604.8+85.18+1727.09</f>
        <v>33654.879999999997</v>
      </c>
      <c r="G56" s="6"/>
    </row>
    <row r="57" spans="1:7">
      <c r="A57" s="76" t="s">
        <v>62</v>
      </c>
      <c r="B57" s="17" t="s">
        <v>20</v>
      </c>
      <c r="C57" s="18">
        <f>791.69+7249.55+832.1+4763.71+2240.01+2382.58</f>
        <v>18259.64</v>
      </c>
      <c r="D57" s="30">
        <f>4.5+2.5+3.5+7.5+5+3</f>
        <v>26</v>
      </c>
      <c r="E57" s="19">
        <f>2758.8+1683.22+2248.08+4887.24+3258.16+2182.58</f>
        <v>17018.080000000002</v>
      </c>
      <c r="G57" s="6"/>
    </row>
    <row r="58" spans="1:7">
      <c r="A58" s="76" t="s">
        <v>63</v>
      </c>
      <c r="B58" s="17" t="s">
        <v>20</v>
      </c>
      <c r="C58" s="18">
        <f>894.74+823.87+1009.62+2410.61</f>
        <v>5138.84</v>
      </c>
      <c r="D58" s="30">
        <f>3.5+3.5+3.5</f>
        <v>10.5</v>
      </c>
      <c r="E58" s="19">
        <f>2248.08+2193.94+2248.08</f>
        <v>6690.1</v>
      </c>
      <c r="G58" s="6"/>
    </row>
    <row r="59" spans="1:7">
      <c r="A59" s="76" t="s">
        <v>64</v>
      </c>
      <c r="B59" s="17" t="s">
        <v>20</v>
      </c>
      <c r="C59" s="18">
        <v>3540.74</v>
      </c>
      <c r="D59" s="30">
        <v>4.5</v>
      </c>
      <c r="E59" s="19">
        <v>2250.3000000000002</v>
      </c>
      <c r="G59" s="6"/>
    </row>
    <row r="60" spans="1:7">
      <c r="A60" s="76" t="s">
        <v>65</v>
      </c>
      <c r="B60" s="17" t="s">
        <v>20</v>
      </c>
      <c r="C60" s="18">
        <f>1937.39+1803.54+8459.12+2780.13+5433.82+6982.65+3496.14+9858.34+9059.78+7006.17+2642.22</f>
        <v>59459.3</v>
      </c>
      <c r="D60" s="30">
        <f>6.5+5.5+5.5+10+11.5+8+12.5+7+9+6</f>
        <v>81.5</v>
      </c>
      <c r="E60" s="19">
        <f>4062.95+3443.95+3687.95+6350.72+6994.31+5112.72+27.27+7896.76+4562.8+5571.74+3823.02</f>
        <v>51534.19</v>
      </c>
      <c r="G60" s="6"/>
    </row>
    <row r="61" spans="1:7">
      <c r="A61" s="76" t="s">
        <v>66</v>
      </c>
      <c r="B61" s="17" t="s">
        <v>9</v>
      </c>
      <c r="C61" s="18">
        <f>1372.63+309.36</f>
        <v>1681.9900000000002</v>
      </c>
      <c r="D61" s="30">
        <v>2.5</v>
      </c>
      <c r="E61" s="19">
        <v>1509</v>
      </c>
      <c r="G61" s="6"/>
    </row>
    <row r="62" spans="1:7">
      <c r="A62" s="76" t="s">
        <v>67</v>
      </c>
      <c r="B62" s="17" t="s">
        <v>68</v>
      </c>
      <c r="C62" s="18">
        <v>1508.66</v>
      </c>
      <c r="D62" s="30">
        <v>0</v>
      </c>
      <c r="E62" s="19">
        <v>0</v>
      </c>
      <c r="G62" s="6"/>
    </row>
    <row r="63" spans="1:7">
      <c r="A63" s="76" t="s">
        <v>69</v>
      </c>
      <c r="B63" s="17" t="s">
        <v>17</v>
      </c>
      <c r="C63" s="18">
        <v>1491.58</v>
      </c>
      <c r="D63" s="30">
        <v>0.5</v>
      </c>
      <c r="E63" s="19">
        <v>553.5</v>
      </c>
      <c r="G63" s="6"/>
    </row>
    <row r="64" spans="1:7">
      <c r="A64" s="76" t="s">
        <v>70</v>
      </c>
      <c r="B64" s="17" t="s">
        <v>17</v>
      </c>
      <c r="C64" s="18">
        <v>3020.15</v>
      </c>
      <c r="D64" s="30">
        <v>1.5</v>
      </c>
      <c r="E64" s="19">
        <v>1072.5</v>
      </c>
      <c r="G64" s="6"/>
    </row>
    <row r="65" spans="1:7">
      <c r="A65" s="76" t="s">
        <v>71</v>
      </c>
      <c r="B65" s="17" t="s">
        <v>26</v>
      </c>
      <c r="C65" s="18">
        <f>1992.26+1616.26+1968.26+1891.02+2000.63+5660.62</f>
        <v>15129.05</v>
      </c>
      <c r="D65" s="30">
        <f>0+3.5+3.5+2.5+3.5+2.5+2.5+2.5</f>
        <v>20.5</v>
      </c>
      <c r="E65" s="19">
        <f>0+3957.83+3957.83+3057.43+4193.63+3057.43+2935.43+2935.43</f>
        <v>24095.010000000002</v>
      </c>
      <c r="G65" s="6"/>
    </row>
    <row r="66" spans="1:7">
      <c r="A66" s="76" t="s">
        <v>72</v>
      </c>
      <c r="B66" s="47" t="s">
        <v>53</v>
      </c>
      <c r="C66" s="56">
        <v>948.92</v>
      </c>
      <c r="D66" s="30">
        <v>0</v>
      </c>
      <c r="E66" s="19">
        <v>0</v>
      </c>
      <c r="G66" s="6"/>
    </row>
    <row r="67" spans="1:7">
      <c r="A67" s="76" t="s">
        <v>73</v>
      </c>
      <c r="B67" s="17" t="s">
        <v>22</v>
      </c>
      <c r="C67" s="56">
        <v>1177.6600000000001</v>
      </c>
      <c r="D67" s="30">
        <v>2.5</v>
      </c>
      <c r="E67" s="19">
        <v>3057.43</v>
      </c>
      <c r="G67" s="6"/>
    </row>
    <row r="68" spans="1:7">
      <c r="A68" s="76" t="s">
        <v>74</v>
      </c>
      <c r="B68" s="17" t="s">
        <v>20</v>
      </c>
      <c r="C68" s="56">
        <v>1878.96</v>
      </c>
      <c r="D68" s="30">
        <v>4.5</v>
      </c>
      <c r="E68" s="19">
        <v>2250.3000000000002</v>
      </c>
      <c r="G68" s="6"/>
    </row>
    <row r="69" spans="1:7">
      <c r="A69" s="76" t="s">
        <v>75</v>
      </c>
      <c r="B69" s="17" t="s">
        <v>9</v>
      </c>
      <c r="C69" s="45">
        <v>26446.32</v>
      </c>
      <c r="D69" s="30">
        <v>3.5</v>
      </c>
      <c r="E69" s="19">
        <v>2410.5</v>
      </c>
      <c r="G69" s="6"/>
    </row>
    <row r="70" spans="1:7">
      <c r="A70" s="76" t="s">
        <v>76</v>
      </c>
      <c r="B70" s="47" t="s">
        <v>77</v>
      </c>
      <c r="C70" s="45">
        <f>1339.52+11943.04+7113.33+6316.01+8090.34+5431.91+9595.99+21502.86+37807.31+9089.55</f>
        <v>118229.86</v>
      </c>
      <c r="D70" s="30">
        <f>6+14+10+15.5+8.5+1+8.5+10+14+11+13</f>
        <v>111.5</v>
      </c>
      <c r="E70" s="19">
        <f>6352.81+14768.05+11765.46+17582.27+9811.89+1257.34+10242.06+11365.4+16516.76+16301.84+15058.42</f>
        <v>131022.29999999997</v>
      </c>
      <c r="G70" s="6"/>
    </row>
    <row r="71" spans="1:7">
      <c r="A71" s="76" t="s">
        <v>78</v>
      </c>
      <c r="B71" s="47" t="s">
        <v>79</v>
      </c>
      <c r="C71" s="45">
        <v>3605.93</v>
      </c>
      <c r="D71" s="30">
        <v>11</v>
      </c>
      <c r="E71" s="19">
        <v>13040.34</v>
      </c>
      <c r="G71" s="6"/>
    </row>
    <row r="72" spans="1:7">
      <c r="A72" s="76" t="s">
        <v>80</v>
      </c>
      <c r="B72" s="47" t="s">
        <v>11</v>
      </c>
      <c r="C72" s="45">
        <f>4157.53+3678.41</f>
        <v>7835.94</v>
      </c>
      <c r="D72" s="30">
        <f>5.5+3.5</f>
        <v>9</v>
      </c>
      <c r="E72" s="19">
        <f>6864.75+4125.77</f>
        <v>10990.52</v>
      </c>
      <c r="G72" s="6"/>
    </row>
    <row r="73" spans="1:7">
      <c r="A73" s="76" t="s">
        <v>81</v>
      </c>
      <c r="B73" s="47" t="s">
        <v>82</v>
      </c>
      <c r="C73" s="45">
        <v>2869.2</v>
      </c>
      <c r="D73" s="30">
        <v>5.5</v>
      </c>
      <c r="E73" s="19">
        <v>6864.74</v>
      </c>
      <c r="G73" s="6"/>
    </row>
    <row r="74" spans="1:7">
      <c r="A74" s="76" t="s">
        <v>83</v>
      </c>
      <c r="B74" s="47" t="s">
        <v>26</v>
      </c>
      <c r="C74" s="45">
        <f>9152.62+11019.14</f>
        <v>20171.760000000002</v>
      </c>
      <c r="D74" s="30">
        <f>2.5+8.5</f>
        <v>11</v>
      </c>
      <c r="E74" s="19">
        <f>2863.89+10296.41</f>
        <v>13160.3</v>
      </c>
      <c r="G74" s="6"/>
    </row>
    <row r="75" spans="1:7">
      <c r="A75" s="76" t="s">
        <v>84</v>
      </c>
      <c r="B75" s="47" t="s">
        <v>9</v>
      </c>
      <c r="C75" s="45">
        <v>2066.81</v>
      </c>
      <c r="D75" s="30">
        <v>1</v>
      </c>
      <c r="E75" s="19">
        <v>589.09</v>
      </c>
      <c r="G75" s="6"/>
    </row>
    <row r="76" spans="1:7">
      <c r="A76" s="76" t="s">
        <v>85</v>
      </c>
      <c r="B76" s="47" t="s">
        <v>11</v>
      </c>
      <c r="C76" s="45">
        <f>1613.88+2958.49</f>
        <v>4572.37</v>
      </c>
      <c r="D76" s="30">
        <f>2.5+3.5</f>
        <v>6</v>
      </c>
      <c r="E76" s="19">
        <f>3105.85+4358.84</f>
        <v>7464.6900000000005</v>
      </c>
      <c r="G76" s="6"/>
    </row>
    <row r="77" spans="1:7">
      <c r="A77" s="76" t="s">
        <v>86</v>
      </c>
      <c r="B77" s="47" t="s">
        <v>53</v>
      </c>
      <c r="C77" s="45">
        <v>2560.21</v>
      </c>
      <c r="D77" s="30">
        <v>0</v>
      </c>
      <c r="E77" s="25">
        <v>0</v>
      </c>
      <c r="G77" s="6"/>
    </row>
    <row r="78" spans="1:7">
      <c r="A78" s="76" t="s">
        <v>87</v>
      </c>
      <c r="B78" s="47" t="s">
        <v>53</v>
      </c>
      <c r="C78" s="45">
        <v>5625.22</v>
      </c>
      <c r="D78" s="30">
        <v>1.5</v>
      </c>
      <c r="E78" s="19">
        <v>1704.87</v>
      </c>
      <c r="G78" s="6"/>
    </row>
    <row r="79" spans="1:7">
      <c r="A79" s="76" t="s">
        <v>88</v>
      </c>
      <c r="B79" s="47" t="s">
        <v>51</v>
      </c>
      <c r="C79" s="45">
        <v>2216.7399999999998</v>
      </c>
      <c r="D79" s="30">
        <v>2.5</v>
      </c>
      <c r="E79" s="25">
        <v>3268.2</v>
      </c>
      <c r="G79" s="6"/>
    </row>
    <row r="80" spans="1:7">
      <c r="A80" s="76" t="s">
        <v>89</v>
      </c>
      <c r="B80" s="47" t="s">
        <v>90</v>
      </c>
      <c r="C80" s="45">
        <v>956.66</v>
      </c>
      <c r="D80" s="30">
        <v>3.5</v>
      </c>
      <c r="E80" s="19">
        <v>4148.55</v>
      </c>
      <c r="G80" s="6"/>
    </row>
    <row r="81" spans="1:9">
      <c r="A81" s="76" t="s">
        <v>91</v>
      </c>
      <c r="B81" s="47" t="s">
        <v>11</v>
      </c>
      <c r="C81" s="63">
        <v>1562.35</v>
      </c>
      <c r="D81" s="30">
        <v>3.5</v>
      </c>
      <c r="E81" s="19">
        <v>4193.63</v>
      </c>
      <c r="G81" s="6"/>
    </row>
    <row r="82" spans="1:9">
      <c r="A82" s="76" t="s">
        <v>92</v>
      </c>
      <c r="B82" s="47" t="s">
        <v>26</v>
      </c>
      <c r="C82" s="64">
        <v>764.94</v>
      </c>
      <c r="D82" s="30">
        <v>3.5</v>
      </c>
      <c r="E82" s="19">
        <v>4193.63</v>
      </c>
      <c r="G82" s="6"/>
    </row>
    <row r="83" spans="1:9">
      <c r="A83" s="76" t="s">
        <v>93</v>
      </c>
      <c r="B83" s="17" t="s">
        <v>43</v>
      </c>
      <c r="C83" s="19">
        <f>10135.83+652.53+3327.45+5182.03+8485.18+9839.5+10411.45+12649.7+19519.56+1814.88+11611.44</f>
        <v>93629.55</v>
      </c>
      <c r="D83" s="30">
        <f>13.5+13.5+4+6.5+9.5+7.5+12.5+19.5+5+14.5+8.5+7</f>
        <v>121.5</v>
      </c>
      <c r="E83" s="19">
        <f>20703.06+16829.9+4971.15+8365.95+12782.97+10225.21+16596.75+25886.56+6722.7+19222.42+11476.61+9346.92</f>
        <v>163130.20000000004</v>
      </c>
      <c r="G83" s="6"/>
    </row>
    <row r="84" spans="1:9">
      <c r="A84" s="76" t="s">
        <v>94</v>
      </c>
      <c r="B84" s="17" t="s">
        <v>20</v>
      </c>
      <c r="C84" s="23">
        <v>2648.1</v>
      </c>
      <c r="D84" s="21">
        <v>2.5</v>
      </c>
      <c r="E84" s="22">
        <v>1708.76</v>
      </c>
      <c r="G84" s="6"/>
    </row>
    <row r="85" spans="1:9">
      <c r="A85" s="76" t="s">
        <v>95</v>
      </c>
      <c r="B85" s="17" t="s">
        <v>26</v>
      </c>
      <c r="C85" s="23">
        <f>2679.04+6697.6+5358.08</f>
        <v>14734.72</v>
      </c>
      <c r="D85" s="21">
        <f>11.5+12+5</f>
        <v>28.5</v>
      </c>
      <c r="E85" s="22">
        <f>12144.13+12705.62+5284.84</f>
        <v>30134.59</v>
      </c>
      <c r="G85" s="6"/>
    </row>
    <row r="86" spans="1:9">
      <c r="A86" s="76" t="s">
        <v>96</v>
      </c>
      <c r="B86" s="17" t="s">
        <v>20</v>
      </c>
      <c r="C86" s="23">
        <f>4262.97+1930.17</f>
        <v>6193.14</v>
      </c>
      <c r="D86" s="21">
        <f>4.5+5.5</f>
        <v>10</v>
      </c>
      <c r="E86" s="22">
        <f>2250.3+2756.3</f>
        <v>5006.6000000000004</v>
      </c>
      <c r="G86" s="6"/>
    </row>
    <row r="87" spans="1:9">
      <c r="A87" s="76" t="s">
        <v>97</v>
      </c>
      <c r="B87" s="17" t="s">
        <v>11</v>
      </c>
      <c r="C87" s="23">
        <v>1305.27</v>
      </c>
      <c r="D87" s="21">
        <v>1.5</v>
      </c>
      <c r="E87" s="22">
        <v>2069.35</v>
      </c>
      <c r="G87" s="6"/>
    </row>
    <row r="88" spans="1:9">
      <c r="A88" s="76" t="s">
        <v>98</v>
      </c>
      <c r="B88" s="17" t="s">
        <v>11</v>
      </c>
      <c r="C88" s="23">
        <v>3316.84</v>
      </c>
      <c r="D88" s="21">
        <v>2.5</v>
      </c>
      <c r="E88" s="22">
        <v>2895.21</v>
      </c>
      <c r="G88" s="6"/>
    </row>
    <row r="89" spans="1:9">
      <c r="A89" s="76" t="s">
        <v>99</v>
      </c>
      <c r="B89" s="48" t="s">
        <v>26</v>
      </c>
      <c r="C89" s="49">
        <f>3463.26+6722.77+4102.88+4728.55+7710.57+5072.85+6633.8</f>
        <v>38434.68</v>
      </c>
      <c r="D89" s="46">
        <f>4.5+3.5+7+5.5+9+6+3.5+9</f>
        <v>48</v>
      </c>
      <c r="E89" s="49">
        <f>4991.08+3399.55+7503.46+5979.27+10184.43+6493.8+3760.91+9740.18</f>
        <v>52052.68</v>
      </c>
      <c r="G89" s="7"/>
      <c r="H89" s="8"/>
      <c r="I89" s="9"/>
    </row>
    <row r="90" spans="1:9">
      <c r="A90" s="76" t="s">
        <v>100</v>
      </c>
      <c r="B90" s="48" t="s">
        <v>22</v>
      </c>
      <c r="C90" s="49">
        <v>1022.13</v>
      </c>
      <c r="D90" s="46">
        <v>1.5</v>
      </c>
      <c r="E90" s="49">
        <v>1874.97</v>
      </c>
      <c r="G90" s="7"/>
      <c r="H90" s="8"/>
      <c r="I90" s="9"/>
    </row>
    <row r="91" spans="1:9">
      <c r="A91" s="76" t="s">
        <v>101</v>
      </c>
      <c r="B91" s="48" t="s">
        <v>53</v>
      </c>
      <c r="C91" s="49">
        <v>1237.06</v>
      </c>
      <c r="D91" s="46">
        <v>0</v>
      </c>
      <c r="E91" s="49">
        <v>0</v>
      </c>
      <c r="G91" s="7"/>
      <c r="H91" s="8"/>
      <c r="I91" s="9"/>
    </row>
    <row r="92" spans="1:9">
      <c r="A92" s="76" t="s">
        <v>102</v>
      </c>
      <c r="B92" s="48" t="s">
        <v>53</v>
      </c>
      <c r="C92" s="49">
        <v>1748.89</v>
      </c>
      <c r="D92" s="46">
        <v>0</v>
      </c>
      <c r="E92" s="49">
        <v>0</v>
      </c>
      <c r="G92" s="7"/>
      <c r="H92" s="8"/>
      <c r="I92" s="9"/>
    </row>
    <row r="93" spans="1:9">
      <c r="A93" s="76" t="s">
        <v>103</v>
      </c>
      <c r="B93" s="48" t="s">
        <v>11</v>
      </c>
      <c r="C93" s="49">
        <f>2224.18+1396.78</f>
        <v>3620.96</v>
      </c>
      <c r="D93" s="46">
        <f>1.5+1.5</f>
        <v>3</v>
      </c>
      <c r="E93" s="49">
        <f>1789.51+1879.69</f>
        <v>3669.2</v>
      </c>
      <c r="G93" s="7"/>
      <c r="H93" s="8"/>
      <c r="I93" s="9"/>
    </row>
    <row r="94" spans="1:9">
      <c r="A94" s="76" t="s">
        <v>104</v>
      </c>
      <c r="B94" s="17" t="s">
        <v>43</v>
      </c>
      <c r="C94" s="18">
        <f>28154.57+8918.66+4060.91+52572.46+2629.12+1768.24+1439.71+6898.1</f>
        <v>106441.77000000002</v>
      </c>
      <c r="D94" s="30">
        <f>7.5+3+1.5+7.5+1.5+4.5+3</f>
        <v>28.5</v>
      </c>
      <c r="E94" s="25">
        <f>18357.5+4220.86+2110.43+17378.63+2222.41+6179.23+4444.82</f>
        <v>54913.88</v>
      </c>
      <c r="G94" s="7"/>
      <c r="H94" s="8"/>
      <c r="I94" s="9"/>
    </row>
    <row r="95" spans="1:9">
      <c r="A95" s="76" t="s">
        <v>105</v>
      </c>
      <c r="B95" s="17" t="s">
        <v>26</v>
      </c>
      <c r="C95" s="18">
        <f>688.97+3076.6+3052.97+2525.6</f>
        <v>9344.14</v>
      </c>
      <c r="D95" s="30">
        <f>4.5+4.5+2.5</f>
        <v>11.5</v>
      </c>
      <c r="E95" s="19">
        <f>5027.31+5010.04+3076.19</f>
        <v>13113.54</v>
      </c>
      <c r="G95" s="7"/>
      <c r="H95" s="8"/>
      <c r="I95" s="9"/>
    </row>
    <row r="96" spans="1:9">
      <c r="A96" s="76" t="s">
        <v>106</v>
      </c>
      <c r="B96" s="17" t="s">
        <v>20</v>
      </c>
      <c r="C96" s="18">
        <v>4202.3999999999996</v>
      </c>
      <c r="D96" s="30">
        <v>1.5</v>
      </c>
      <c r="E96" s="19">
        <v>979.6</v>
      </c>
      <c r="G96" s="7"/>
      <c r="H96" s="8"/>
      <c r="I96" s="9"/>
    </row>
    <row r="97" spans="1:9">
      <c r="A97" s="76" t="s">
        <v>107</v>
      </c>
      <c r="B97" s="17" t="s">
        <v>51</v>
      </c>
      <c r="C97" s="18">
        <v>2640.2</v>
      </c>
      <c r="D97" s="30">
        <v>1.5</v>
      </c>
      <c r="E97" s="19">
        <v>2004.01</v>
      </c>
      <c r="G97" s="7"/>
      <c r="H97" s="8"/>
      <c r="I97" s="9"/>
    </row>
    <row r="98" spans="1:9">
      <c r="A98" s="76" t="s">
        <v>108</v>
      </c>
      <c r="B98" s="17" t="s">
        <v>20</v>
      </c>
      <c r="C98" s="18">
        <v>1590.42</v>
      </c>
      <c r="D98" s="30">
        <v>4.5</v>
      </c>
      <c r="E98" s="19">
        <v>2812.94</v>
      </c>
      <c r="G98" s="7"/>
      <c r="H98" s="8"/>
      <c r="I98" s="9"/>
    </row>
    <row r="99" spans="1:9">
      <c r="A99" s="76" t="s">
        <v>109</v>
      </c>
      <c r="B99" s="17" t="s">
        <v>20</v>
      </c>
      <c r="C99" s="18">
        <v>983.74</v>
      </c>
      <c r="D99" s="30">
        <v>3.5</v>
      </c>
      <c r="E99" s="19">
        <v>2248.08</v>
      </c>
      <c r="G99" s="7"/>
      <c r="H99" s="8"/>
      <c r="I99" s="9"/>
    </row>
    <row r="100" spans="1:9">
      <c r="A100" s="76" t="s">
        <v>110</v>
      </c>
      <c r="B100" s="17" t="s">
        <v>9</v>
      </c>
      <c r="C100" s="18">
        <v>5957.42</v>
      </c>
      <c r="D100" s="30">
        <v>5.5</v>
      </c>
      <c r="E100" s="19">
        <v>3443.95</v>
      </c>
      <c r="G100" s="7"/>
      <c r="H100" s="8"/>
      <c r="I100" s="9"/>
    </row>
    <row r="101" spans="1:9">
      <c r="A101" s="76" t="s">
        <v>111</v>
      </c>
      <c r="B101" s="17" t="s">
        <v>51</v>
      </c>
      <c r="C101" s="18">
        <v>3510.76</v>
      </c>
      <c r="D101" s="30">
        <v>3.5</v>
      </c>
      <c r="E101" s="19">
        <v>4429.47</v>
      </c>
      <c r="G101" s="7"/>
      <c r="H101" s="8"/>
      <c r="I101" s="9"/>
    </row>
    <row r="102" spans="1:9">
      <c r="A102" s="76" t="s">
        <v>112</v>
      </c>
      <c r="B102" s="48" t="s">
        <v>26</v>
      </c>
      <c r="C102" s="49">
        <f>1861.46+1231.1+4098.7+3830.7+2477.83</f>
        <v>13499.789999999999</v>
      </c>
      <c r="D102" s="30">
        <f>0+4+1.5+2.5+1.5</f>
        <v>9.5</v>
      </c>
      <c r="E102" s="19">
        <f>0+4729.87+1920.41+3056.2+1852.96</f>
        <v>11559.439999999999</v>
      </c>
      <c r="G102" s="7"/>
      <c r="H102" s="8"/>
      <c r="I102" s="9"/>
    </row>
    <row r="103" spans="1:9">
      <c r="A103" s="76" t="s">
        <v>113</v>
      </c>
      <c r="B103" s="48" t="s">
        <v>9</v>
      </c>
      <c r="C103" s="49">
        <v>1189.5</v>
      </c>
      <c r="D103" s="30">
        <v>2.5</v>
      </c>
      <c r="E103" s="19">
        <v>1608.26</v>
      </c>
      <c r="G103" s="7"/>
      <c r="H103" s="8"/>
      <c r="I103" s="9"/>
    </row>
    <row r="104" spans="1:9">
      <c r="A104" s="76" t="s">
        <v>114</v>
      </c>
      <c r="B104" s="48" t="s">
        <v>53</v>
      </c>
      <c r="C104" s="49">
        <v>1107.6600000000001</v>
      </c>
      <c r="D104" s="30">
        <v>4.5</v>
      </c>
      <c r="E104" s="19">
        <v>4375.49</v>
      </c>
      <c r="G104" s="7"/>
      <c r="H104" s="8"/>
      <c r="I104" s="9"/>
    </row>
    <row r="105" spans="1:9">
      <c r="A105" s="76" t="s">
        <v>115</v>
      </c>
      <c r="B105" s="17" t="s">
        <v>11</v>
      </c>
      <c r="C105" s="18">
        <f>2150.56+3615.22+5454.92</f>
        <v>11220.7</v>
      </c>
      <c r="D105" s="30">
        <f>1.5+3.5+1.5</f>
        <v>6.5</v>
      </c>
      <c r="E105" s="19">
        <f>1801.29+3935.43+1969.77</f>
        <v>7706.49</v>
      </c>
      <c r="G105" s="7"/>
      <c r="H105" s="8"/>
      <c r="I105" s="9"/>
    </row>
    <row r="106" spans="1:9">
      <c r="A106" s="76" t="s">
        <v>116</v>
      </c>
      <c r="B106" s="17" t="s">
        <v>11</v>
      </c>
      <c r="C106" s="18">
        <v>2254.83</v>
      </c>
      <c r="D106" s="30">
        <v>3.5</v>
      </c>
      <c r="E106" s="19">
        <v>4068.47</v>
      </c>
      <c r="G106" s="7"/>
      <c r="H106" s="8"/>
      <c r="I106" s="9"/>
    </row>
    <row r="107" spans="1:9">
      <c r="A107" s="76" t="s">
        <v>117</v>
      </c>
      <c r="B107" s="17" t="s">
        <v>26</v>
      </c>
      <c r="C107" s="18">
        <f>1866.18+5733.09+2789.46+8060.71</f>
        <v>18449.439999999999</v>
      </c>
      <c r="D107" s="30">
        <f>2.5+3.5+6.5</f>
        <v>12.5</v>
      </c>
      <c r="E107" s="19">
        <f>2886.42+4245.19+8018.56</f>
        <v>15150.17</v>
      </c>
      <c r="G107" s="7"/>
      <c r="H107" s="8"/>
      <c r="I107" s="9"/>
    </row>
    <row r="108" spans="1:9">
      <c r="A108" s="76" t="s">
        <v>118</v>
      </c>
      <c r="B108" s="17" t="s">
        <v>11</v>
      </c>
      <c r="C108" s="18">
        <f>5895.58+5043.71+3046.3</f>
        <v>13985.59</v>
      </c>
      <c r="D108" s="30">
        <f>1.5+2.5+2</f>
        <v>6</v>
      </c>
      <c r="E108" s="19">
        <f>1826.35+3016.69+2421.52</f>
        <v>7264.5599999999995</v>
      </c>
      <c r="G108" s="7"/>
      <c r="H108" s="8"/>
      <c r="I108" s="9"/>
    </row>
    <row r="109" spans="1:9">
      <c r="A109" s="76" t="s">
        <v>119</v>
      </c>
      <c r="B109" s="17" t="s">
        <v>22</v>
      </c>
      <c r="C109" s="18">
        <v>690.59</v>
      </c>
      <c r="D109" s="30">
        <v>1.5</v>
      </c>
      <c r="E109" s="19">
        <v>1893.15</v>
      </c>
      <c r="G109" s="7"/>
      <c r="H109" s="8"/>
      <c r="I109" s="9"/>
    </row>
    <row r="110" spans="1:9">
      <c r="A110" s="76" t="s">
        <v>120</v>
      </c>
      <c r="B110" s="79" t="s">
        <v>20</v>
      </c>
      <c r="C110" s="18">
        <v>0</v>
      </c>
      <c r="D110" s="30">
        <v>1.5</v>
      </c>
      <c r="E110" s="19">
        <v>1044.5</v>
      </c>
      <c r="G110" s="7"/>
      <c r="H110" s="8"/>
      <c r="I110" s="9"/>
    </row>
    <row r="111" spans="1:9">
      <c r="A111" s="76" t="s">
        <v>121</v>
      </c>
      <c r="B111" s="17" t="s">
        <v>122</v>
      </c>
      <c r="C111" s="18">
        <v>2584.69</v>
      </c>
      <c r="D111" s="30">
        <v>2.5</v>
      </c>
      <c r="E111" s="19">
        <v>3057.43</v>
      </c>
      <c r="G111" s="7"/>
      <c r="H111" s="8"/>
      <c r="I111" s="9"/>
    </row>
    <row r="112" spans="1:9">
      <c r="A112" s="76" t="s">
        <v>123</v>
      </c>
      <c r="B112" s="17" t="s">
        <v>11</v>
      </c>
      <c r="C112" s="18">
        <v>775.1</v>
      </c>
      <c r="D112" s="30">
        <v>1.5</v>
      </c>
      <c r="E112" s="19">
        <v>1416.99</v>
      </c>
      <c r="G112" s="7"/>
      <c r="H112" s="8"/>
      <c r="I112" s="9"/>
    </row>
    <row r="113" spans="1:9">
      <c r="A113" s="76" t="s">
        <v>124</v>
      </c>
      <c r="B113" s="17" t="s">
        <v>11</v>
      </c>
      <c r="C113" s="18">
        <f>1507.46+4251.29</f>
        <v>5758.75</v>
      </c>
      <c r="D113" s="30">
        <f>2.5+2.5</f>
        <v>5</v>
      </c>
      <c r="E113" s="19">
        <f>1828.45+667.17+540.62+3056.2</f>
        <v>6092.44</v>
      </c>
      <c r="G113" s="7"/>
      <c r="H113" s="8"/>
      <c r="I113" s="9"/>
    </row>
    <row r="114" spans="1:9">
      <c r="A114" s="76" t="s">
        <v>125</v>
      </c>
      <c r="B114" s="17" t="s">
        <v>53</v>
      </c>
      <c r="C114" s="18">
        <v>3571.74</v>
      </c>
      <c r="D114" s="30">
        <v>3.5</v>
      </c>
      <c r="E114" s="19">
        <v>3726.75</v>
      </c>
      <c r="G114" s="7"/>
      <c r="H114" s="8"/>
      <c r="I114" s="9"/>
    </row>
    <row r="115" spans="1:9">
      <c r="A115" s="76" t="s">
        <v>126</v>
      </c>
      <c r="B115" s="17" t="s">
        <v>53</v>
      </c>
      <c r="C115" s="18">
        <v>2079.19</v>
      </c>
      <c r="D115" s="30">
        <v>1.5</v>
      </c>
      <c r="E115" s="19">
        <v>1688.45</v>
      </c>
      <c r="G115" s="7"/>
      <c r="H115" s="8"/>
      <c r="I115" s="9"/>
    </row>
    <row r="116" spans="1:9">
      <c r="A116" s="76" t="s">
        <v>127</v>
      </c>
      <c r="B116" s="17" t="s">
        <v>9</v>
      </c>
      <c r="C116" s="49">
        <v>2631.19</v>
      </c>
      <c r="D116" s="50">
        <v>0</v>
      </c>
      <c r="E116" s="19">
        <v>0</v>
      </c>
      <c r="G116" s="7"/>
      <c r="H116" s="8"/>
      <c r="I116" s="9"/>
    </row>
    <row r="117" spans="1:9">
      <c r="A117" s="76" t="s">
        <v>128</v>
      </c>
      <c r="B117" s="17" t="s">
        <v>9</v>
      </c>
      <c r="C117" s="49">
        <v>5594.16</v>
      </c>
      <c r="D117" s="50">
        <v>1.5</v>
      </c>
      <c r="E117" s="19">
        <v>1064.98</v>
      </c>
      <c r="G117" s="7"/>
      <c r="H117" s="8"/>
      <c r="I117" s="9"/>
    </row>
    <row r="118" spans="1:9">
      <c r="A118" s="76" t="s">
        <v>129</v>
      </c>
      <c r="B118" s="17" t="s">
        <v>130</v>
      </c>
      <c r="C118" s="49">
        <v>1089.6199999999999</v>
      </c>
      <c r="D118" s="50">
        <v>0</v>
      </c>
      <c r="E118" s="19">
        <v>0</v>
      </c>
      <c r="G118" s="7"/>
      <c r="H118" s="8"/>
      <c r="I118" s="9"/>
    </row>
    <row r="119" spans="1:9">
      <c r="A119" s="76" t="s">
        <v>131</v>
      </c>
      <c r="B119" s="79" t="s">
        <v>11</v>
      </c>
      <c r="C119" s="49">
        <v>4465.43</v>
      </c>
      <c r="D119" s="50">
        <v>2.5</v>
      </c>
      <c r="E119" s="19">
        <v>2913.58</v>
      </c>
      <c r="G119" s="7"/>
      <c r="H119" s="8"/>
      <c r="I119" s="9"/>
    </row>
    <row r="120" spans="1:9">
      <c r="A120" s="76" t="s">
        <v>132</v>
      </c>
      <c r="B120" s="17" t="s">
        <v>17</v>
      </c>
      <c r="C120" s="49">
        <v>896.58</v>
      </c>
      <c r="D120" s="50">
        <v>1.5</v>
      </c>
      <c r="E120" s="19">
        <v>1172.5</v>
      </c>
      <c r="G120" s="7"/>
      <c r="H120" s="8"/>
      <c r="I120" s="9"/>
    </row>
    <row r="121" spans="1:9">
      <c r="A121" s="76" t="s">
        <v>133</v>
      </c>
      <c r="B121" s="17" t="s">
        <v>130</v>
      </c>
      <c r="C121" s="49">
        <v>1089.6199999999999</v>
      </c>
      <c r="D121" s="50">
        <v>0</v>
      </c>
      <c r="E121" s="19">
        <v>0</v>
      </c>
      <c r="G121" s="7"/>
      <c r="H121" s="8"/>
      <c r="I121" s="9"/>
    </row>
    <row r="122" spans="1:9">
      <c r="A122" s="76" t="s">
        <v>134</v>
      </c>
      <c r="B122" s="17" t="s">
        <v>11</v>
      </c>
      <c r="C122" s="49">
        <v>2431.23</v>
      </c>
      <c r="D122" s="50">
        <v>1.5</v>
      </c>
      <c r="E122" s="19">
        <v>1952.24</v>
      </c>
      <c r="G122" s="7"/>
      <c r="H122" s="8"/>
      <c r="I122" s="9"/>
    </row>
    <row r="123" spans="1:9">
      <c r="A123" s="76" t="s">
        <v>135</v>
      </c>
      <c r="B123" s="17" t="s">
        <v>20</v>
      </c>
      <c r="C123" s="49">
        <f>1368.42+3028.1+975.32+3021.26+5146.57</f>
        <v>13539.67</v>
      </c>
      <c r="D123" s="50">
        <f>4+4+1.5</f>
        <v>9.5</v>
      </c>
      <c r="E123" s="19">
        <f>2693.3+2503.44+1064.22</f>
        <v>6260.96</v>
      </c>
      <c r="G123" s="7"/>
      <c r="H123" s="8"/>
      <c r="I123" s="9"/>
    </row>
    <row r="124" spans="1:9">
      <c r="A124" s="76" t="s">
        <v>136</v>
      </c>
      <c r="B124" s="17" t="s">
        <v>53</v>
      </c>
      <c r="C124" s="49">
        <v>1018.92</v>
      </c>
      <c r="D124" s="50">
        <v>0</v>
      </c>
      <c r="E124" s="19">
        <v>0</v>
      </c>
      <c r="G124" s="7"/>
      <c r="H124" s="8"/>
      <c r="I124" s="9"/>
    </row>
    <row r="125" spans="1:9">
      <c r="A125" s="76" t="s">
        <v>137</v>
      </c>
      <c r="B125" s="79" t="s">
        <v>9</v>
      </c>
      <c r="C125" s="49">
        <v>4550.5200000000004</v>
      </c>
      <c r="D125" s="50">
        <v>0</v>
      </c>
      <c r="E125" s="19">
        <v>244</v>
      </c>
      <c r="G125" s="7"/>
      <c r="H125" s="8"/>
      <c r="I125" s="9"/>
    </row>
    <row r="126" spans="1:9">
      <c r="A126" s="76" t="s">
        <v>138</v>
      </c>
      <c r="B126" s="17" t="s">
        <v>11</v>
      </c>
      <c r="C126" s="18">
        <f>3550.18+4483.18+2843.3+1475+1558.66+2535.3</f>
        <v>16445.62</v>
      </c>
      <c r="D126" s="30">
        <f>2.5+2.5+2.5+1.5+1.5+2.5</f>
        <v>13</v>
      </c>
      <c r="E126" s="19">
        <f>3017.41+3017.41+1908.33+1172.5+1172.5+1791.5</f>
        <v>12079.65</v>
      </c>
      <c r="G126" s="7"/>
      <c r="H126" s="8"/>
      <c r="I126" s="9"/>
    </row>
    <row r="127" spans="1:9">
      <c r="A127" s="76" t="s">
        <v>139</v>
      </c>
      <c r="B127" s="17" t="s">
        <v>26</v>
      </c>
      <c r="C127" s="20">
        <f>1122.16+3979.82+6741.74+1302.93+3618.46+7055.68+1615.02</f>
        <v>25435.81</v>
      </c>
      <c r="D127" s="21">
        <f>1.5+6+6+4+0.5+0.5+6.5</f>
        <v>25</v>
      </c>
      <c r="E127" s="22">
        <f>1507.91+6607.92+7188.69+4808.01+750.9+750.9+7763.05</f>
        <v>29377.38</v>
      </c>
      <c r="G127" s="7"/>
      <c r="H127" s="8"/>
      <c r="I127" s="9"/>
    </row>
    <row r="128" spans="1:9">
      <c r="A128" s="76" t="s">
        <v>140</v>
      </c>
      <c r="B128" s="17" t="s">
        <v>141</v>
      </c>
      <c r="C128" s="20">
        <v>1102.25</v>
      </c>
      <c r="D128" s="21">
        <v>1.5</v>
      </c>
      <c r="E128" s="22">
        <v>969.34</v>
      </c>
      <c r="G128" s="7"/>
      <c r="H128" s="8"/>
      <c r="I128" s="9"/>
    </row>
    <row r="129" spans="1:9">
      <c r="A129" s="76" t="s">
        <v>142</v>
      </c>
      <c r="B129" s="17" t="s">
        <v>32</v>
      </c>
      <c r="C129" s="20">
        <v>665.39</v>
      </c>
      <c r="D129" s="21">
        <v>0</v>
      </c>
      <c r="E129" s="22">
        <v>0</v>
      </c>
      <c r="G129" s="7"/>
      <c r="H129" s="8"/>
      <c r="I129" s="9"/>
    </row>
    <row r="130" spans="1:9">
      <c r="A130" s="76" t="s">
        <v>143</v>
      </c>
      <c r="B130" s="17" t="s">
        <v>11</v>
      </c>
      <c r="C130" s="20">
        <f>2595.18+0+2119.18+4904.83+1067.71+1956.95</f>
        <v>12643.849999999999</v>
      </c>
      <c r="D130" s="21">
        <f>0+1.5+1.5+2.5+2.5+3.5</f>
        <v>11.5</v>
      </c>
      <c r="E130" s="22">
        <f>0+1807.27+1893.15+3015.31+3083.49+4137.47</f>
        <v>13936.689999999999</v>
      </c>
      <c r="G130" s="7"/>
      <c r="H130" s="8"/>
      <c r="I130" s="9"/>
    </row>
    <row r="131" spans="1:9">
      <c r="A131" s="76" t="s">
        <v>144</v>
      </c>
      <c r="B131" s="17" t="s">
        <v>11</v>
      </c>
      <c r="C131" s="20">
        <v>1781.6</v>
      </c>
      <c r="D131" s="21">
        <v>0.5</v>
      </c>
      <c r="E131" s="22">
        <v>280.37</v>
      </c>
      <c r="G131" s="7"/>
      <c r="H131" s="8"/>
      <c r="I131" s="9"/>
    </row>
    <row r="132" spans="1:9">
      <c r="A132" s="76" t="s">
        <v>145</v>
      </c>
      <c r="B132" s="17" t="s">
        <v>26</v>
      </c>
      <c r="C132" s="20">
        <f>2836.36+1031.42</f>
        <v>3867.78</v>
      </c>
      <c r="D132" s="21">
        <f>3.5</f>
        <v>3.5</v>
      </c>
      <c r="E132" s="22">
        <f>4247.77</f>
        <v>4247.7700000000004</v>
      </c>
      <c r="G132" s="7"/>
      <c r="H132" s="8"/>
      <c r="I132" s="9"/>
    </row>
    <row r="133" spans="1:9">
      <c r="A133" s="76" t="s">
        <v>146</v>
      </c>
      <c r="B133" s="17" t="s">
        <v>20</v>
      </c>
      <c r="C133" s="20">
        <v>1539.84</v>
      </c>
      <c r="D133" s="21">
        <v>4.5</v>
      </c>
      <c r="E133" s="22">
        <v>2250.3000000000002</v>
      </c>
      <c r="G133" s="7"/>
      <c r="H133" s="8"/>
      <c r="I133" s="9"/>
    </row>
    <row r="134" spans="1:9">
      <c r="A134" s="76" t="s">
        <v>147</v>
      </c>
      <c r="B134" s="17" t="s">
        <v>20</v>
      </c>
      <c r="C134" s="20">
        <f>4262.97+1930.17</f>
        <v>6193.14</v>
      </c>
      <c r="D134" s="21">
        <f>4.5+5.5</f>
        <v>10</v>
      </c>
      <c r="E134" s="22">
        <f>2758.8+3377.8</f>
        <v>6136.6</v>
      </c>
      <c r="G134" s="7"/>
      <c r="H134" s="8"/>
      <c r="I134" s="9"/>
    </row>
    <row r="135" spans="1:9">
      <c r="A135" s="76" t="s">
        <v>148</v>
      </c>
      <c r="B135" s="17" t="s">
        <v>17</v>
      </c>
      <c r="C135" s="20">
        <v>1582.01</v>
      </c>
      <c r="D135" s="21">
        <v>1.5</v>
      </c>
      <c r="E135" s="22">
        <v>1172.5</v>
      </c>
      <c r="G135" s="7"/>
      <c r="H135" s="8"/>
      <c r="I135" s="9"/>
    </row>
    <row r="136" spans="1:9">
      <c r="A136" s="76" t="s">
        <v>149</v>
      </c>
      <c r="B136" s="17" t="s">
        <v>53</v>
      </c>
      <c r="C136" s="20">
        <v>1237.06</v>
      </c>
      <c r="D136" s="21">
        <v>2.5</v>
      </c>
      <c r="E136" s="22">
        <v>1791.5</v>
      </c>
      <c r="G136" s="7"/>
      <c r="H136" s="8"/>
      <c r="I136" s="9"/>
    </row>
    <row r="137" spans="1:9">
      <c r="A137" s="76" t="s">
        <v>150</v>
      </c>
      <c r="B137" s="17" t="s">
        <v>53</v>
      </c>
      <c r="C137" s="20">
        <v>2695.25</v>
      </c>
      <c r="D137" s="21">
        <v>0</v>
      </c>
      <c r="E137" s="22">
        <v>0</v>
      </c>
      <c r="G137" s="7"/>
      <c r="H137" s="8"/>
      <c r="I137" s="9"/>
    </row>
    <row r="138" spans="1:9">
      <c r="A138" s="76" t="s">
        <v>151</v>
      </c>
      <c r="B138" s="17" t="s">
        <v>11</v>
      </c>
      <c r="C138" s="20">
        <v>5651.45</v>
      </c>
      <c r="D138" s="21">
        <v>1.5</v>
      </c>
      <c r="E138" s="22">
        <v>1910.03</v>
      </c>
      <c r="G138" s="7"/>
      <c r="H138" s="8"/>
      <c r="I138" s="9"/>
    </row>
    <row r="139" spans="1:9">
      <c r="A139" s="76" t="s">
        <v>152</v>
      </c>
      <c r="B139" s="17" t="s">
        <v>26</v>
      </c>
      <c r="C139" s="18">
        <f>1937.39+2485.85+2535+1218.57+7046.51+2907.77+5536.96+7734.54+4575.01+5682.4+4396.52</f>
        <v>46056.520000000004</v>
      </c>
      <c r="D139" s="30">
        <f>5.5+6+4.5+9+8+7+7+11.5+7+4.5+5</f>
        <v>75</v>
      </c>
      <c r="E139" s="19">
        <f>6359.04+6684.92+4911.01+10582.9+9315.29+8202.22+8279.49+13090.31+8125.5+5291.45+5976.08</f>
        <v>86818.21</v>
      </c>
      <c r="G139" s="7"/>
      <c r="H139" s="8"/>
      <c r="I139" s="9"/>
    </row>
    <row r="140" spans="1:9">
      <c r="A140" s="76" t="s">
        <v>153</v>
      </c>
      <c r="B140" s="17" t="s">
        <v>43</v>
      </c>
      <c r="C140" s="20">
        <f>1537.54+2483.48+6005.07+3730.26+6525.72+6148.73+3033.74+7631.58+25103.68+8410.58+5357.6+1455.24</f>
        <v>77423.220000000016</v>
      </c>
      <c r="D140" s="21">
        <f>4.5+3.5+1.5+8+7.5+1.5+6+8.5+6.5+17.5</f>
        <v>65</v>
      </c>
      <c r="E140" s="22">
        <f>5392.45+4555.53+2002.15+10642.78+10290.27+2114.13+8146.77+11509.87+8926.13+23814.93</f>
        <v>87395.010000000009</v>
      </c>
      <c r="G140" s="7"/>
      <c r="H140" s="8"/>
      <c r="I140" s="9"/>
    </row>
    <row r="141" spans="1:9">
      <c r="A141" s="76" t="s">
        <v>154</v>
      </c>
      <c r="B141" s="17" t="s">
        <v>26</v>
      </c>
      <c r="C141" s="20">
        <f>1915.04+2041.3</f>
        <v>3956.34</v>
      </c>
      <c r="D141" s="21">
        <f>2.5+2</f>
        <v>4.5</v>
      </c>
      <c r="E141" s="22">
        <f>3057.43+2516.4</f>
        <v>5573.83</v>
      </c>
      <c r="G141" s="7"/>
      <c r="H141" s="8"/>
      <c r="I141" s="9"/>
    </row>
    <row r="142" spans="1:9">
      <c r="A142" s="76" t="s">
        <v>155</v>
      </c>
      <c r="B142" s="17" t="s">
        <v>11</v>
      </c>
      <c r="C142" s="20">
        <v>1175.71</v>
      </c>
      <c r="D142" s="21">
        <v>0.5</v>
      </c>
      <c r="E142" s="22">
        <v>770.99</v>
      </c>
      <c r="G142" s="7"/>
      <c r="H142" s="8"/>
      <c r="I142" s="9"/>
    </row>
    <row r="143" spans="1:9">
      <c r="A143" s="76" t="s">
        <v>156</v>
      </c>
      <c r="B143" s="17" t="s">
        <v>17</v>
      </c>
      <c r="C143" s="20">
        <v>571.19000000000005</v>
      </c>
      <c r="D143" s="21">
        <v>1.5</v>
      </c>
      <c r="E143" s="22">
        <v>1172.5</v>
      </c>
      <c r="G143" s="7"/>
      <c r="H143" s="8"/>
      <c r="I143" s="9"/>
    </row>
    <row r="144" spans="1:9">
      <c r="A144" s="76" t="s">
        <v>157</v>
      </c>
      <c r="B144" s="17" t="s">
        <v>53</v>
      </c>
      <c r="C144" s="20">
        <v>3310.95</v>
      </c>
      <c r="D144" s="21">
        <v>2.5</v>
      </c>
      <c r="E144" s="22">
        <v>2872.2</v>
      </c>
      <c r="G144" s="7"/>
      <c r="H144" s="8"/>
      <c r="I144" s="9"/>
    </row>
    <row r="145" spans="1:9">
      <c r="A145" s="76" t="s">
        <v>158</v>
      </c>
      <c r="B145" s="17" t="s">
        <v>43</v>
      </c>
      <c r="C145" s="19">
        <f>0+6481.23+25268.92+6857.05+7277.81+23284.23+10282.45+14554.47+20454.13+16287.84+11866.59+1269.24</f>
        <v>143883.96</v>
      </c>
      <c r="D145" s="30">
        <f>10+4.5+13.5+7.5+15+10+8.5+13.5+12.5+10+6.5+9</f>
        <v>120.5</v>
      </c>
      <c r="E145" s="19">
        <f>16686.64+5568.3+17259.89+9780.57+20068.02+13374.56+11340.99+17943.69+16378.75+13137.4+14604.27+11574.46</f>
        <v>167717.53999999998</v>
      </c>
      <c r="G145" s="7"/>
      <c r="H145" s="8"/>
      <c r="I145" s="9"/>
    </row>
    <row r="146" spans="1:9">
      <c r="A146" s="76" t="s">
        <v>159</v>
      </c>
      <c r="B146" s="17" t="s">
        <v>20</v>
      </c>
      <c r="C146" s="19">
        <f>771.66+4191.37+1529.71</f>
        <v>6492.74</v>
      </c>
      <c r="D146" s="30">
        <f>3.5+3+3.5</f>
        <v>10</v>
      </c>
      <c r="E146" s="19">
        <f>2004.08+1938.58+2193.94</f>
        <v>6136.6</v>
      </c>
      <c r="G146" s="7"/>
      <c r="H146" s="8"/>
      <c r="I146" s="9"/>
    </row>
    <row r="147" spans="1:9">
      <c r="A147" s="76" t="s">
        <v>160</v>
      </c>
      <c r="B147" s="17" t="s">
        <v>53</v>
      </c>
      <c r="C147" s="19">
        <v>2340.21</v>
      </c>
      <c r="D147" s="30">
        <v>0</v>
      </c>
      <c r="E147" s="19">
        <v>0</v>
      </c>
      <c r="G147" s="7"/>
      <c r="H147" s="8"/>
      <c r="I147" s="9"/>
    </row>
    <row r="148" spans="1:9">
      <c r="A148" s="76" t="s">
        <v>161</v>
      </c>
      <c r="B148" s="17" t="s">
        <v>53</v>
      </c>
      <c r="C148" s="19">
        <f>3616.71+3155.99</f>
        <v>6772.7</v>
      </c>
      <c r="D148" s="30">
        <f>1.5+3.5</f>
        <v>5</v>
      </c>
      <c r="E148" s="19">
        <f>1825.33+4001.83</f>
        <v>5827.16</v>
      </c>
      <c r="G148" s="7"/>
      <c r="H148" s="8"/>
      <c r="I148" s="9"/>
    </row>
    <row r="149" spans="1:9">
      <c r="A149" s="76" t="s">
        <v>162</v>
      </c>
      <c r="B149" s="17" t="s">
        <v>26</v>
      </c>
      <c r="C149" s="19">
        <f>2589.54+1869.57+2535.48+1393.37+1155.42</f>
        <v>9543.3799999999992</v>
      </c>
      <c r="D149" s="30">
        <f>2.5+2.5+7.5+2.5</f>
        <v>15</v>
      </c>
      <c r="E149" s="19">
        <f>2955.04+2955.04+9110.02+2955.04</f>
        <v>17975.14</v>
      </c>
      <c r="G149" s="7"/>
      <c r="H149" s="8"/>
      <c r="I149" s="9"/>
    </row>
    <row r="150" spans="1:9">
      <c r="A150" s="76" t="s">
        <v>163</v>
      </c>
      <c r="B150" s="17" t="s">
        <v>9</v>
      </c>
      <c r="C150" s="19">
        <v>956.66</v>
      </c>
      <c r="D150" s="30">
        <v>0</v>
      </c>
      <c r="E150" s="19">
        <v>0</v>
      </c>
      <c r="G150" s="7"/>
      <c r="H150" s="8"/>
      <c r="I150" s="9"/>
    </row>
    <row r="151" spans="1:9">
      <c r="A151" s="76" t="s">
        <v>164</v>
      </c>
      <c r="B151" s="17" t="s">
        <v>26</v>
      </c>
      <c r="C151" s="18">
        <f>1640.74+3152.48+1166.74+4813.64+5381+7620.22+4646.18+4814.64+3818.28+8381.17+5474.88</f>
        <v>50909.969999999994</v>
      </c>
      <c r="D151" s="30">
        <f>2.5+5+2.5+2.5+6+3+2.5+3.5+7.5+3.5</f>
        <v>38.5</v>
      </c>
      <c r="E151" s="19">
        <f>2901.42+5802.84+2901.42+3038.07+7280.04+3840.82+3056.2+4246.54+9101.15+4191.99</f>
        <v>46360.49</v>
      </c>
      <c r="G151" s="7"/>
      <c r="H151" s="8"/>
      <c r="I151" s="9"/>
    </row>
    <row r="152" spans="1:9">
      <c r="A152" s="76" t="s">
        <v>165</v>
      </c>
      <c r="B152" s="17" t="s">
        <v>17</v>
      </c>
      <c r="C152" s="18">
        <v>754.3</v>
      </c>
      <c r="D152" s="30">
        <v>2.5</v>
      </c>
      <c r="E152" s="19">
        <v>1701.77</v>
      </c>
      <c r="G152" s="7"/>
      <c r="H152" s="8"/>
      <c r="I152" s="9"/>
    </row>
    <row r="153" spans="1:9">
      <c r="A153" s="76" t="s">
        <v>166</v>
      </c>
      <c r="B153" s="17" t="s">
        <v>26</v>
      </c>
      <c r="C153" s="18">
        <v>0</v>
      </c>
      <c r="D153" s="30">
        <v>5.5</v>
      </c>
      <c r="E153" s="19">
        <v>11195</v>
      </c>
      <c r="G153" s="7"/>
      <c r="H153" s="8"/>
      <c r="I153" s="9"/>
    </row>
    <row r="154" spans="1:9">
      <c r="A154" s="76" t="s">
        <v>167</v>
      </c>
      <c r="B154" s="17" t="s">
        <v>26</v>
      </c>
      <c r="C154" s="18">
        <f>2523.4+5544.59+2852.72+18694.24+6874.73+5556.25</f>
        <v>42045.93</v>
      </c>
      <c r="D154" s="30">
        <f>5+3.5+8+7.5+2.5+2.5+2.5</f>
        <v>31.5</v>
      </c>
      <c r="E154" s="19">
        <f>6053.35+4101.11+13935.69+77.27+8797.39+2988.04+3065.31+2821.31</f>
        <v>41839.469999999994</v>
      </c>
      <c r="G154" s="7"/>
      <c r="H154" s="8"/>
      <c r="I154" s="9"/>
    </row>
    <row r="155" spans="1:9">
      <c r="A155" s="76" t="s">
        <v>168</v>
      </c>
      <c r="B155" s="17" t="s">
        <v>11</v>
      </c>
      <c r="C155" s="18">
        <f>2648.1+2773.85+2579.18+1470.01+2627.9+2176.77+4944.83+6679.32+7368.9+10032.89+2240.24</f>
        <v>45541.99</v>
      </c>
      <c r="D155" s="30">
        <f>1.5+5+1.5+1.5+3.5+2.5+7.5+6.5+6.5+1.5+2.5</f>
        <v>40</v>
      </c>
      <c r="E155" s="19">
        <f>1934.37+6073.52+1908.82+2069.35+4412.91+3214.06+10895.17+8443.33+8497.47+2069.35+3214.06</f>
        <v>52732.41</v>
      </c>
      <c r="G155" s="7"/>
      <c r="H155" s="8"/>
      <c r="I155" s="9"/>
    </row>
    <row r="156" spans="1:9">
      <c r="A156" s="76" t="s">
        <v>169</v>
      </c>
      <c r="B156" s="17" t="s">
        <v>11</v>
      </c>
      <c r="C156" s="18">
        <v>1729.1</v>
      </c>
      <c r="D156" s="30">
        <v>0</v>
      </c>
      <c r="E156" s="19">
        <v>0</v>
      </c>
      <c r="G156" s="7"/>
      <c r="H156" s="8"/>
      <c r="I156" s="9"/>
    </row>
    <row r="157" spans="1:9">
      <c r="A157" s="76" t="s">
        <v>170</v>
      </c>
      <c r="B157" s="17" t="s">
        <v>20</v>
      </c>
      <c r="C157" s="18">
        <v>3123.19</v>
      </c>
      <c r="D157" s="30">
        <v>4.5</v>
      </c>
      <c r="E157" s="19">
        <v>2812.94</v>
      </c>
      <c r="G157" s="7"/>
      <c r="H157" s="8"/>
      <c r="I157" s="9"/>
    </row>
    <row r="158" spans="1:9">
      <c r="A158" s="76" t="s">
        <v>171</v>
      </c>
      <c r="B158" s="17" t="s">
        <v>20</v>
      </c>
      <c r="C158" s="18">
        <v>1301.6600000000001</v>
      </c>
      <c r="D158" s="30">
        <v>3.5</v>
      </c>
      <c r="E158" s="19">
        <v>2126.08</v>
      </c>
      <c r="G158" s="7"/>
      <c r="H158" s="8"/>
      <c r="I158" s="9"/>
    </row>
    <row r="159" spans="1:9">
      <c r="A159" s="76" t="s">
        <v>172</v>
      </c>
      <c r="B159" s="17" t="s">
        <v>130</v>
      </c>
      <c r="C159" s="18">
        <v>2498.06</v>
      </c>
      <c r="D159" s="30">
        <v>0</v>
      </c>
      <c r="E159" s="19">
        <v>0</v>
      </c>
      <c r="G159" s="7"/>
      <c r="H159" s="8"/>
      <c r="I159" s="9"/>
    </row>
    <row r="160" spans="1:9">
      <c r="A160" s="76" t="s">
        <v>173</v>
      </c>
      <c r="B160" s="17" t="s">
        <v>11</v>
      </c>
      <c r="C160" s="18">
        <f>1175.54+1370.38</f>
        <v>2545.92</v>
      </c>
      <c r="D160" s="30">
        <f>3.5+2.5</f>
        <v>6</v>
      </c>
      <c r="E160" s="19">
        <f>4193.47+3057.43</f>
        <v>7250.9</v>
      </c>
      <c r="G160" s="7"/>
      <c r="H160" s="8"/>
      <c r="I160" s="9"/>
    </row>
    <row r="161" spans="1:9">
      <c r="A161" s="76" t="s">
        <v>174</v>
      </c>
      <c r="B161" s="17" t="s">
        <v>26</v>
      </c>
      <c r="C161" s="18">
        <f>4974.56+4818.76+1003.64+8220.79+3189.85+2198.07+5759.03+2397.79</f>
        <v>32562.489999999998</v>
      </c>
      <c r="D161" s="30">
        <f>2.5+5+2.5+6.5+8.5+1.5+3.5+8</f>
        <v>38</v>
      </c>
      <c r="E161" s="19">
        <f>2824.14+5926.29+2878.93+7413.01+9713.49+1802.23+3972.35+9126.68</f>
        <v>43657.120000000003</v>
      </c>
      <c r="G161" s="7"/>
      <c r="H161" s="8"/>
      <c r="I161" s="9"/>
    </row>
    <row r="162" spans="1:9">
      <c r="A162" s="76" t="s">
        <v>175</v>
      </c>
      <c r="B162" s="17" t="s">
        <v>11</v>
      </c>
      <c r="C162" s="18">
        <v>1127.5999999999999</v>
      </c>
      <c r="D162" s="30">
        <v>1.5</v>
      </c>
      <c r="E162" s="19">
        <v>1921.23</v>
      </c>
      <c r="G162" s="7"/>
      <c r="H162" s="8"/>
      <c r="I162" s="9"/>
    </row>
    <row r="163" spans="1:9">
      <c r="A163" s="76" t="s">
        <v>176</v>
      </c>
      <c r="B163" s="17" t="s">
        <v>9</v>
      </c>
      <c r="C163" s="18">
        <v>1873.71</v>
      </c>
      <c r="D163" s="30">
        <v>0</v>
      </c>
      <c r="E163" s="19">
        <v>0</v>
      </c>
      <c r="G163" s="7"/>
      <c r="H163" s="8"/>
      <c r="I163" s="9"/>
    </row>
    <row r="164" spans="1:9">
      <c r="A164" s="76" t="s">
        <v>177</v>
      </c>
      <c r="B164" s="17" t="s">
        <v>26</v>
      </c>
      <c r="C164" s="18">
        <f>2473.19+526.42</f>
        <v>2999.61</v>
      </c>
      <c r="D164" s="30">
        <f>3.5+2.5</f>
        <v>6</v>
      </c>
      <c r="E164" s="19">
        <f>4193.63+3057.43</f>
        <v>7251.0599999999995</v>
      </c>
      <c r="G164" s="7"/>
      <c r="H164" s="8"/>
      <c r="I164" s="9"/>
    </row>
    <row r="165" spans="1:9">
      <c r="A165" s="76" t="s">
        <v>178</v>
      </c>
      <c r="B165" s="17" t="s">
        <v>20</v>
      </c>
      <c r="C165" s="18">
        <v>4262.97</v>
      </c>
      <c r="D165" s="30">
        <v>4.5</v>
      </c>
      <c r="E165" s="19">
        <v>2250.3000000000002</v>
      </c>
      <c r="G165" s="7"/>
      <c r="H165" s="8"/>
      <c r="I165" s="9"/>
    </row>
    <row r="166" spans="1:9">
      <c r="A166" s="76" t="s">
        <v>179</v>
      </c>
      <c r="B166" s="17" t="s">
        <v>20</v>
      </c>
      <c r="C166" s="18">
        <f>1937.39+1803.54+2689.4+1320.09+8161.32+3690.29+568.7+9687.09+5520.79+5183.38+4396.52</f>
        <v>44958.509999999995</v>
      </c>
      <c r="D166" s="30">
        <f>6.5+5.5+5.5+9+14.5+7+12.5+7+10.5+6+1</f>
        <v>85</v>
      </c>
      <c r="E166" s="19">
        <f>3947.5+3328.5+3328.5+5547+8875.5+4928+55+7573.5+4309+6328.5+3754+619</f>
        <v>52594</v>
      </c>
      <c r="G166" s="7"/>
      <c r="H166" s="8"/>
      <c r="I166" s="9"/>
    </row>
    <row r="167" spans="1:9">
      <c r="A167" s="76" t="s">
        <v>180</v>
      </c>
      <c r="B167" s="17" t="s">
        <v>9</v>
      </c>
      <c r="C167" s="18">
        <v>2260.0100000000002</v>
      </c>
      <c r="D167" s="30">
        <v>2.5</v>
      </c>
      <c r="E167" s="19">
        <v>1791.5</v>
      </c>
      <c r="G167" s="7"/>
      <c r="H167" s="8"/>
      <c r="I167" s="9"/>
    </row>
    <row r="168" spans="1:9">
      <c r="A168" s="76" t="s">
        <v>181</v>
      </c>
      <c r="B168" s="17" t="s">
        <v>20</v>
      </c>
      <c r="C168" s="18">
        <f>2025.81+3521.51+4783.26</f>
        <v>10330.58</v>
      </c>
      <c r="D168" s="30">
        <v>6</v>
      </c>
      <c r="E168" s="19">
        <v>3823.02</v>
      </c>
      <c r="G168" s="7"/>
      <c r="H168" s="8"/>
      <c r="I168" s="9"/>
    </row>
    <row r="169" spans="1:9">
      <c r="A169" s="76" t="s">
        <v>182</v>
      </c>
      <c r="B169" s="17" t="s">
        <v>20</v>
      </c>
      <c r="C169" s="18">
        <v>3366.33</v>
      </c>
      <c r="D169" s="30">
        <v>3.5</v>
      </c>
      <c r="E169" s="19">
        <v>2193.94</v>
      </c>
      <c r="G169" s="7"/>
      <c r="H169" s="8"/>
      <c r="I169" s="9"/>
    </row>
    <row r="170" spans="1:9">
      <c r="A170" s="76" t="s">
        <v>183</v>
      </c>
      <c r="B170" s="17" t="s">
        <v>11</v>
      </c>
      <c r="C170" s="18">
        <v>1415.48</v>
      </c>
      <c r="D170" s="30">
        <v>2.5</v>
      </c>
      <c r="E170" s="19">
        <v>3057.43</v>
      </c>
      <c r="G170" s="7"/>
      <c r="H170" s="8"/>
      <c r="I170" s="9"/>
    </row>
    <row r="171" spans="1:9">
      <c r="A171" s="76" t="s">
        <v>184</v>
      </c>
      <c r="B171" s="17" t="s">
        <v>11</v>
      </c>
      <c r="C171" s="18">
        <v>1317.54</v>
      </c>
      <c r="D171" s="30">
        <v>2.5</v>
      </c>
      <c r="E171" s="19">
        <v>3015.31</v>
      </c>
      <c r="G171" s="7"/>
      <c r="H171" s="8"/>
      <c r="I171" s="9"/>
    </row>
    <row r="172" spans="1:9">
      <c r="A172" s="76" t="s">
        <v>185</v>
      </c>
      <c r="B172" s="17" t="s">
        <v>53</v>
      </c>
      <c r="C172" s="18">
        <v>2696.63</v>
      </c>
      <c r="D172" s="30">
        <v>1.5</v>
      </c>
      <c r="E172" s="19">
        <v>2015.21</v>
      </c>
      <c r="G172" s="7"/>
      <c r="H172" s="8"/>
      <c r="I172" s="9"/>
    </row>
    <row r="173" spans="1:9">
      <c r="A173" s="76" t="s">
        <v>186</v>
      </c>
      <c r="B173" s="17" t="s">
        <v>9</v>
      </c>
      <c r="C173" s="18">
        <v>1622.69</v>
      </c>
      <c r="D173" s="30">
        <v>0.5</v>
      </c>
      <c r="E173" s="19">
        <v>512.59</v>
      </c>
      <c r="G173" s="7"/>
      <c r="H173" s="8"/>
      <c r="I173" s="9"/>
    </row>
    <row r="174" spans="1:9">
      <c r="A174" s="76" t="s">
        <v>187</v>
      </c>
      <c r="B174" s="17" t="s">
        <v>20</v>
      </c>
      <c r="C174" s="18">
        <v>2785.46</v>
      </c>
      <c r="D174" s="30">
        <v>4.5</v>
      </c>
      <c r="E174" s="19">
        <v>2758.8</v>
      </c>
      <c r="G174" s="7"/>
      <c r="H174" s="8"/>
      <c r="I174" s="9"/>
    </row>
    <row r="175" spans="1:9">
      <c r="A175" s="76" t="s">
        <v>188</v>
      </c>
      <c r="B175" s="17" t="s">
        <v>26</v>
      </c>
      <c r="C175" s="20">
        <f>0+1314.39+5789.32+2109.4</f>
        <v>9213.11</v>
      </c>
      <c r="D175" s="21">
        <f>17+2.5+1.5+1.5+1.5+1.5+4.5+2.5</f>
        <v>32.5</v>
      </c>
      <c r="E175" s="22">
        <f>29323.62+2178.54+1102.53+1430.15+1459.67+1656.71+4366.93+2603.05</f>
        <v>44121.2</v>
      </c>
      <c r="G175" s="7"/>
      <c r="H175" s="8"/>
      <c r="I175" s="9"/>
    </row>
    <row r="176" spans="1:9">
      <c r="A176" s="76" t="s">
        <v>189</v>
      </c>
      <c r="B176" s="17" t="s">
        <v>17</v>
      </c>
      <c r="C176" s="20">
        <v>4409.93</v>
      </c>
      <c r="D176" s="21">
        <v>4.5</v>
      </c>
      <c r="E176" s="22">
        <v>2824.95</v>
      </c>
      <c r="G176" s="7"/>
      <c r="H176" s="8"/>
      <c r="I176" s="9"/>
    </row>
    <row r="177" spans="1:9">
      <c r="A177" s="76" t="s">
        <v>190</v>
      </c>
      <c r="B177" s="17" t="s">
        <v>82</v>
      </c>
      <c r="C177" s="20">
        <v>1770.37</v>
      </c>
      <c r="D177" s="21">
        <v>0</v>
      </c>
      <c r="E177" s="22">
        <v>244</v>
      </c>
      <c r="G177" s="7"/>
      <c r="H177" s="8"/>
      <c r="I177" s="9"/>
    </row>
    <row r="178" spans="1:9">
      <c r="A178" s="76" t="s">
        <v>191</v>
      </c>
      <c r="B178" s="17" t="s">
        <v>51</v>
      </c>
      <c r="C178" s="20">
        <v>1729.1</v>
      </c>
      <c r="D178" s="21">
        <v>1.5</v>
      </c>
      <c r="E178" s="22">
        <v>1957.11</v>
      </c>
      <c r="G178" s="7"/>
      <c r="H178" s="8"/>
      <c r="I178" s="9"/>
    </row>
    <row r="179" spans="1:9">
      <c r="A179" s="76" t="s">
        <v>192</v>
      </c>
      <c r="B179" s="17" t="s">
        <v>26</v>
      </c>
      <c r="C179" s="20">
        <f>529.25+3564.07</f>
        <v>4093.32</v>
      </c>
      <c r="D179" s="21">
        <f>8.5+7.5</f>
        <v>16</v>
      </c>
      <c r="E179" s="22">
        <f>13339.97+9097.55</f>
        <v>22437.519999999997</v>
      </c>
      <c r="G179" s="7"/>
      <c r="H179" s="8"/>
      <c r="I179" s="9"/>
    </row>
    <row r="180" spans="1:9">
      <c r="A180" s="76" t="s">
        <v>193</v>
      </c>
      <c r="B180" s="17" t="s">
        <v>53</v>
      </c>
      <c r="C180" s="20">
        <v>948.92</v>
      </c>
      <c r="D180" s="21">
        <v>0</v>
      </c>
      <c r="E180" s="22">
        <v>0</v>
      </c>
      <c r="G180" s="7"/>
      <c r="H180" s="8"/>
      <c r="I180" s="9"/>
    </row>
    <row r="181" spans="1:9">
      <c r="A181" s="76" t="s">
        <v>194</v>
      </c>
      <c r="B181" s="17" t="s">
        <v>11</v>
      </c>
      <c r="C181" s="20">
        <v>2340.21</v>
      </c>
      <c r="D181" s="21">
        <v>0</v>
      </c>
      <c r="E181" s="22">
        <v>0</v>
      </c>
      <c r="G181" s="7"/>
      <c r="H181" s="8"/>
      <c r="I181" s="9"/>
    </row>
    <row r="182" spans="1:9">
      <c r="A182" s="76" t="s">
        <v>195</v>
      </c>
      <c r="B182" s="17" t="s">
        <v>90</v>
      </c>
      <c r="C182" s="20">
        <v>526.41999999999996</v>
      </c>
      <c r="D182" s="21">
        <v>2.5</v>
      </c>
      <c r="E182" s="22">
        <v>2548.75</v>
      </c>
      <c r="G182" s="7"/>
      <c r="H182" s="8"/>
      <c r="I182" s="9"/>
    </row>
    <row r="183" spans="1:9">
      <c r="A183" s="76" t="s">
        <v>196</v>
      </c>
      <c r="B183" s="17" t="s">
        <v>20</v>
      </c>
      <c r="C183" s="20">
        <f>1936.63+764.74+6254.72+832.1+1181.42</f>
        <v>10969.61</v>
      </c>
      <c r="D183" s="21">
        <f>3.5+4.5+5+2.5+2.5</f>
        <v>18</v>
      </c>
      <c r="E183" s="22">
        <f>2193.94+2758.8+3258.16+1629.08+1629.08</f>
        <v>11469.06</v>
      </c>
      <c r="G183" s="10"/>
      <c r="H183" s="10"/>
      <c r="I183" s="10"/>
    </row>
    <row r="184" spans="1:9">
      <c r="A184" s="76" t="s">
        <v>197</v>
      </c>
      <c r="B184" s="17" t="s">
        <v>20</v>
      </c>
      <c r="C184" s="20">
        <v>3530.1</v>
      </c>
      <c r="D184" s="21">
        <v>2.5</v>
      </c>
      <c r="E184" s="22">
        <v>1629.08</v>
      </c>
      <c r="G184" s="10"/>
      <c r="H184" s="10"/>
      <c r="I184" s="10"/>
    </row>
    <row r="185" spans="1:9">
      <c r="A185" s="76" t="s">
        <v>198</v>
      </c>
      <c r="B185" s="17" t="s">
        <v>11</v>
      </c>
      <c r="C185" s="18">
        <f>2681.54+854.32</f>
        <v>3535.86</v>
      </c>
      <c r="D185" s="30">
        <v>0.5</v>
      </c>
      <c r="E185" s="19">
        <v>499.22</v>
      </c>
      <c r="G185" s="10"/>
      <c r="H185" s="10"/>
      <c r="I185" s="10"/>
    </row>
    <row r="186" spans="1:9">
      <c r="A186" s="76" t="s">
        <v>199</v>
      </c>
      <c r="B186" s="17" t="s">
        <v>200</v>
      </c>
      <c r="C186" s="24">
        <f>804.07+6947.94+3589.5+1810.48+2107.72+2184.97+6068.85+2525.6+2649.24</f>
        <v>28688.369999999995</v>
      </c>
      <c r="D186" s="31">
        <f>12+4.5+5+4.5+7+2.5+8+2.5</f>
        <v>46</v>
      </c>
      <c r="E186" s="25">
        <f>21525.14+4938.21+4941.09+5342.44+8317.57+3004.36+9579.19+2997.55</f>
        <v>60645.55</v>
      </c>
      <c r="G186" s="10"/>
      <c r="H186" s="10"/>
      <c r="I186" s="10"/>
    </row>
    <row r="187" spans="1:9">
      <c r="A187" s="76" t="s">
        <v>201</v>
      </c>
      <c r="B187" s="17" t="s">
        <v>53</v>
      </c>
      <c r="C187" s="24">
        <f>2974.26+3423.63</f>
        <v>6397.89</v>
      </c>
      <c r="D187" s="31">
        <f>3.5+2.5</f>
        <v>6</v>
      </c>
      <c r="E187" s="25">
        <f>3957.83+3111.57</f>
        <v>7069.4</v>
      </c>
      <c r="G187" s="10"/>
      <c r="H187" s="10"/>
      <c r="I187" s="10"/>
    </row>
    <row r="188" spans="1:9">
      <c r="A188" s="76" t="s">
        <v>202</v>
      </c>
      <c r="B188" s="17" t="s">
        <v>17</v>
      </c>
      <c r="C188" s="24">
        <f>2357.2+2558.24</f>
        <v>4915.4399999999996</v>
      </c>
      <c r="D188" s="31">
        <f>1.5+2.5</f>
        <v>4</v>
      </c>
      <c r="E188" s="25">
        <f>1064.22+1629.08</f>
        <v>2693.3</v>
      </c>
      <c r="G188" s="10"/>
      <c r="H188" s="10"/>
      <c r="I188" s="10"/>
    </row>
    <row r="189" spans="1:9">
      <c r="A189" s="76" t="s">
        <v>203</v>
      </c>
      <c r="B189" s="17" t="s">
        <v>17</v>
      </c>
      <c r="C189" s="24">
        <v>904.92</v>
      </c>
      <c r="D189" s="31">
        <v>2.5</v>
      </c>
      <c r="E189" s="25">
        <v>1791.5</v>
      </c>
      <c r="G189" s="10"/>
      <c r="H189" s="10"/>
      <c r="I189" s="10"/>
    </row>
    <row r="190" spans="1:9">
      <c r="A190" s="76" t="s">
        <v>204</v>
      </c>
      <c r="B190" s="17" t="s">
        <v>17</v>
      </c>
      <c r="C190" s="24">
        <v>1748.02</v>
      </c>
      <c r="D190" s="31">
        <v>1.5</v>
      </c>
      <c r="E190" s="25">
        <v>1003</v>
      </c>
      <c r="G190" s="10"/>
      <c r="H190" s="10"/>
      <c r="I190" s="10"/>
    </row>
    <row r="191" spans="1:9">
      <c r="A191" s="76" t="s">
        <v>205</v>
      </c>
      <c r="B191" s="17" t="s">
        <v>11</v>
      </c>
      <c r="C191" s="24">
        <v>3340.76</v>
      </c>
      <c r="D191" s="31">
        <v>3.5</v>
      </c>
      <c r="E191" s="25">
        <v>4053.79</v>
      </c>
      <c r="G191" s="10"/>
      <c r="H191" s="10"/>
      <c r="I191" s="10"/>
    </row>
    <row r="192" spans="1:9">
      <c r="A192" s="76" t="s">
        <v>206</v>
      </c>
      <c r="B192" s="17" t="s">
        <v>26</v>
      </c>
      <c r="C192" s="24">
        <f>1843.39+1615.54+1469+1335.91+7078.35+2718.2</f>
        <v>16060.39</v>
      </c>
      <c r="D192" s="31">
        <f>5.5+3.5+7+10.5+2.5</f>
        <v>29</v>
      </c>
      <c r="E192" s="25">
        <f>5979.74+3156.21+6370.3+9555.45+1818.51+306.26</f>
        <v>27186.469999999998</v>
      </c>
      <c r="G192" s="10"/>
      <c r="H192" s="10"/>
      <c r="I192" s="10"/>
    </row>
    <row r="193" spans="1:9">
      <c r="A193" s="76" t="s">
        <v>207</v>
      </c>
      <c r="B193" s="17" t="s">
        <v>53</v>
      </c>
      <c r="C193" s="18">
        <f>14013.98+2149.36</f>
        <v>16163.34</v>
      </c>
      <c r="D193" s="30">
        <v>0</v>
      </c>
      <c r="E193" s="19">
        <v>0</v>
      </c>
      <c r="G193" s="10"/>
      <c r="H193" s="10"/>
      <c r="I193" s="10"/>
    </row>
    <row r="194" spans="1:9">
      <c r="A194" s="76" t="s">
        <v>208</v>
      </c>
      <c r="B194" s="17" t="s">
        <v>11</v>
      </c>
      <c r="C194" s="18">
        <v>2988.62</v>
      </c>
      <c r="D194" s="30">
        <v>0</v>
      </c>
      <c r="E194" s="19">
        <v>0</v>
      </c>
      <c r="G194" s="10"/>
      <c r="H194" s="10"/>
      <c r="I194" s="10"/>
    </row>
    <row r="195" spans="1:9">
      <c r="A195" s="76" t="s">
        <v>209</v>
      </c>
      <c r="B195" s="17" t="s">
        <v>11</v>
      </c>
      <c r="C195" s="18">
        <v>1998.13</v>
      </c>
      <c r="D195" s="30">
        <v>3.5</v>
      </c>
      <c r="E195" s="19">
        <f>4247.77+41.37</f>
        <v>4289.1400000000003</v>
      </c>
      <c r="G195" s="10"/>
      <c r="H195" s="10"/>
      <c r="I195" s="10"/>
    </row>
    <row r="196" spans="1:9">
      <c r="A196" s="76" t="s">
        <v>210</v>
      </c>
      <c r="B196" s="67" t="s">
        <v>26</v>
      </c>
      <c r="C196" s="18">
        <f>1380.91+2315.64+7078.35+6288.41+2625.97+2963.02</f>
        <v>22652.300000000003</v>
      </c>
      <c r="D196" s="30">
        <f>3.5+3.5+10.5+4+5.5+6</f>
        <v>33</v>
      </c>
      <c r="E196" s="19">
        <f>3865.31+4101.11+12303.33+4863.01+6481.79+6922.42</f>
        <v>38536.97</v>
      </c>
      <c r="G196" s="10"/>
      <c r="H196" s="10"/>
      <c r="I196" s="10"/>
    </row>
    <row r="197" spans="1:9">
      <c r="A197" s="76" t="s">
        <v>211</v>
      </c>
      <c r="B197" s="17" t="s">
        <v>212</v>
      </c>
      <c r="C197" s="65">
        <v>2047.39</v>
      </c>
      <c r="D197" s="30">
        <v>5.5</v>
      </c>
      <c r="E197" s="19">
        <v>5654.69</v>
      </c>
      <c r="G197" s="10"/>
      <c r="H197" s="10"/>
      <c r="I197" s="10"/>
    </row>
    <row r="198" spans="1:9">
      <c r="A198" s="76" t="s">
        <v>213</v>
      </c>
      <c r="B198" s="17" t="s">
        <v>53</v>
      </c>
      <c r="C198" s="65">
        <f>2974.26+3423.63</f>
        <v>6397.89</v>
      </c>
      <c r="D198" s="30">
        <f>3.5+2.5</f>
        <v>6</v>
      </c>
      <c r="E198" s="19">
        <f>3957.83+3111.57</f>
        <v>7069.4</v>
      </c>
      <c r="G198" s="10"/>
      <c r="H198" s="10"/>
      <c r="I198" s="10"/>
    </row>
    <row r="199" spans="1:9">
      <c r="A199" s="76" t="s">
        <v>214</v>
      </c>
      <c r="B199" s="17" t="s">
        <v>26</v>
      </c>
      <c r="C199" s="65">
        <f>3985.38+3472.74+3696.1+7350.01+3678.31+4799.36+10462.23+7924.82+6667.03</f>
        <v>52035.98</v>
      </c>
      <c r="D199" s="30">
        <f>4.5+6+2.5+5+1.5+2.5+6.5+3+1.5+7+2.5</f>
        <v>42.5</v>
      </c>
      <c r="E199" s="19">
        <f>5572.6+7628.89+3463.24+6757.86+2168.27+3420.3+8871.99+4282.4+2114.13+9477.32+3433.07</f>
        <v>57190.07</v>
      </c>
      <c r="G199" s="10"/>
      <c r="H199" s="10"/>
      <c r="I199" s="10"/>
    </row>
    <row r="200" spans="1:9">
      <c r="A200" s="76" t="s">
        <v>215</v>
      </c>
      <c r="B200" s="17" t="s">
        <v>20</v>
      </c>
      <c r="C200" s="65">
        <v>1535.26</v>
      </c>
      <c r="D200" s="30">
        <v>4.5</v>
      </c>
      <c r="E200" s="19">
        <v>2812.94</v>
      </c>
      <c r="G200" s="10"/>
      <c r="H200" s="10"/>
      <c r="I200" s="10"/>
    </row>
    <row r="201" spans="1:9">
      <c r="A201" s="76" t="s">
        <v>216</v>
      </c>
      <c r="B201" s="17" t="s">
        <v>26</v>
      </c>
      <c r="C201" s="65">
        <f>1652.98+1256.88+3239.22+1545.75+2460.86+1792.71</f>
        <v>11948.400000000001</v>
      </c>
      <c r="D201" s="30">
        <f>3.5+3.5+3.5+2.5+3.5+2.5+3.5</f>
        <v>22.5</v>
      </c>
      <c r="E201" s="19">
        <f>4008.91+3957.83+4193.63+3057.43+4193.63+41.37+3057.43+4193.63</f>
        <v>26703.86</v>
      </c>
      <c r="G201" s="10"/>
      <c r="H201" s="10"/>
      <c r="I201" s="10"/>
    </row>
    <row r="202" spans="1:9">
      <c r="A202" s="76" t="s">
        <v>217</v>
      </c>
      <c r="B202" s="17" t="s">
        <v>26</v>
      </c>
      <c r="C202" s="66">
        <f>4493.2+1896.59+5489.13</f>
        <v>11878.92</v>
      </c>
      <c r="D202" s="31">
        <f>2.5+3.5+2.5+2.5+3.5+2.5+2.5+2.5</f>
        <v>22</v>
      </c>
      <c r="E202" s="25">
        <f>3090.9+4164.69+3036.76+3214.06+4412.91+3214.06+3214.06+3214.06</f>
        <v>27561.500000000004</v>
      </c>
      <c r="G202" s="10"/>
      <c r="H202" s="10"/>
      <c r="I202" s="10"/>
    </row>
    <row r="203" spans="1:9">
      <c r="A203" s="76" t="s">
        <v>218</v>
      </c>
      <c r="B203" s="17" t="s">
        <v>11</v>
      </c>
      <c r="C203" s="66">
        <v>703.38</v>
      </c>
      <c r="D203" s="31">
        <v>2.5</v>
      </c>
      <c r="E203" s="25">
        <v>3057.43</v>
      </c>
      <c r="G203" s="10"/>
      <c r="H203" s="10"/>
      <c r="I203" s="10"/>
    </row>
    <row r="204" spans="1:9">
      <c r="A204" s="76" t="s">
        <v>219</v>
      </c>
      <c r="B204" s="17" t="s">
        <v>11</v>
      </c>
      <c r="C204" s="66">
        <v>1154.1199999999999</v>
      </c>
      <c r="D204" s="31">
        <f>2.5+1.5</f>
        <v>4</v>
      </c>
      <c r="E204" s="25">
        <f>2628.2+1910.03</f>
        <v>4538.2299999999996</v>
      </c>
      <c r="G204" s="11"/>
      <c r="H204" s="10"/>
      <c r="I204" s="10"/>
    </row>
    <row r="205" spans="1:9">
      <c r="A205" s="76" t="s">
        <v>220</v>
      </c>
      <c r="B205" s="17" t="s">
        <v>11</v>
      </c>
      <c r="C205" s="66">
        <v>1763.26</v>
      </c>
      <c r="D205" s="31">
        <v>0</v>
      </c>
      <c r="E205" s="25">
        <v>0</v>
      </c>
      <c r="G205" s="11"/>
      <c r="H205" s="10"/>
      <c r="I205" s="10"/>
    </row>
    <row r="206" spans="1:9">
      <c r="A206" s="76" t="s">
        <v>221</v>
      </c>
      <c r="B206" s="17" t="s">
        <v>11</v>
      </c>
      <c r="C206" s="66">
        <v>328.1</v>
      </c>
      <c r="D206" s="31">
        <v>3.5</v>
      </c>
      <c r="E206" s="25">
        <v>4193.63</v>
      </c>
      <c r="G206" s="11"/>
      <c r="H206" s="10"/>
      <c r="I206" s="10"/>
    </row>
    <row r="207" spans="1:9">
      <c r="A207" s="76" t="s">
        <v>222</v>
      </c>
      <c r="B207" s="17" t="s">
        <v>51</v>
      </c>
      <c r="C207" s="66">
        <v>1024.1300000000001</v>
      </c>
      <c r="D207" s="31">
        <v>0</v>
      </c>
      <c r="E207" s="25">
        <v>0</v>
      </c>
      <c r="G207" s="11"/>
      <c r="H207" s="10"/>
      <c r="I207" s="10"/>
    </row>
    <row r="208" spans="1:9">
      <c r="A208" s="76" t="s">
        <v>223</v>
      </c>
      <c r="B208" s="17" t="s">
        <v>26</v>
      </c>
      <c r="C208" s="65">
        <f>1843.39+1615.54+3432.13+3303.27+6959.01+2907.77+1309.44+7716.58+5064.91+5017.53+4396.52</f>
        <v>43566.09</v>
      </c>
      <c r="D208" s="30">
        <f>5.5+4.5+4.5+11.5+8+7+11.5+7+8+5</f>
        <v>72.5</v>
      </c>
      <c r="E208" s="19">
        <f>6017.99+4569.96+4569.96+12820.63+8701.4+7656.54+145.48+12494.79+7621.66+8777.12+5514.5</f>
        <v>78890.03</v>
      </c>
      <c r="G208" s="11"/>
      <c r="H208" s="10"/>
      <c r="I208" s="10"/>
    </row>
    <row r="209" spans="1:9">
      <c r="A209" s="76" t="s">
        <v>224</v>
      </c>
      <c r="B209" s="17" t="s">
        <v>11</v>
      </c>
      <c r="C209" s="65">
        <f>1652.41+871.71+1442.3</f>
        <v>3966.42</v>
      </c>
      <c r="D209" s="30">
        <v>1.5</v>
      </c>
      <c r="E209" s="19">
        <v>1893.15</v>
      </c>
      <c r="G209" s="11"/>
      <c r="H209" s="10"/>
      <c r="I209" s="10"/>
    </row>
    <row r="210" spans="1:9">
      <c r="A210" s="76" t="s">
        <v>225</v>
      </c>
      <c r="B210" s="17" t="s">
        <v>11</v>
      </c>
      <c r="C210" s="65">
        <v>2628.32</v>
      </c>
      <c r="D210" s="30">
        <v>3.5</v>
      </c>
      <c r="E210" s="19">
        <v>4101.1099999999997</v>
      </c>
      <c r="G210" s="11"/>
      <c r="H210" s="10"/>
      <c r="I210" s="10"/>
    </row>
    <row r="211" spans="1:9">
      <c r="A211" s="76" t="s">
        <v>226</v>
      </c>
      <c r="B211" s="17" t="s">
        <v>9</v>
      </c>
      <c r="C211" s="65">
        <f>1243.38+125</f>
        <v>1368.38</v>
      </c>
      <c r="D211" s="30">
        <f>1.5+3.5</f>
        <v>5</v>
      </c>
      <c r="E211" s="19">
        <f>994.3+1899.2</f>
        <v>2893.5</v>
      </c>
      <c r="G211" s="11"/>
      <c r="H211" s="10"/>
      <c r="I211" s="10"/>
    </row>
    <row r="212" spans="1:9">
      <c r="A212" s="76" t="s">
        <v>227</v>
      </c>
      <c r="B212" s="17" t="s">
        <v>26</v>
      </c>
      <c r="C212" s="65">
        <v>2135.7399999999998</v>
      </c>
      <c r="D212" s="30">
        <v>4.5</v>
      </c>
      <c r="E212" s="19">
        <v>4835.92</v>
      </c>
      <c r="G212" s="11"/>
      <c r="H212" s="10"/>
      <c r="I212" s="10"/>
    </row>
    <row r="213" spans="1:9">
      <c r="A213" s="76" t="s">
        <v>228</v>
      </c>
      <c r="B213" s="55" t="s">
        <v>51</v>
      </c>
      <c r="C213" s="65">
        <v>1946.07</v>
      </c>
      <c r="D213" s="30">
        <v>2.5</v>
      </c>
      <c r="E213" s="19">
        <v>2863.9</v>
      </c>
      <c r="G213" s="11"/>
      <c r="H213" s="10"/>
      <c r="I213" s="10"/>
    </row>
    <row r="214" spans="1:9">
      <c r="A214" s="76" t="s">
        <v>229</v>
      </c>
      <c r="B214" s="55" t="s">
        <v>9</v>
      </c>
      <c r="C214" s="65">
        <v>0</v>
      </c>
      <c r="D214" s="30">
        <v>0.5</v>
      </c>
      <c r="E214" s="19">
        <v>309.5</v>
      </c>
      <c r="G214" s="11"/>
      <c r="H214" s="10"/>
      <c r="I214" s="10"/>
    </row>
    <row r="215" spans="1:9">
      <c r="A215" s="76" t="s">
        <v>230</v>
      </c>
      <c r="B215" s="55" t="s">
        <v>20</v>
      </c>
      <c r="C215" s="65">
        <v>2785.46</v>
      </c>
      <c r="D215" s="30">
        <v>4.5</v>
      </c>
      <c r="E215" s="19">
        <v>2250.3000000000002</v>
      </c>
      <c r="G215" s="11"/>
      <c r="H215" s="10"/>
      <c r="I215" s="10"/>
    </row>
    <row r="216" spans="1:9">
      <c r="A216" s="76" t="s">
        <v>231</v>
      </c>
      <c r="B216" s="55" t="s">
        <v>53</v>
      </c>
      <c r="C216" s="65">
        <v>3571.74</v>
      </c>
      <c r="D216" s="30">
        <v>3.5</v>
      </c>
      <c r="E216" s="19">
        <v>3726.75</v>
      </c>
      <c r="G216" s="11"/>
      <c r="H216" s="10"/>
      <c r="I216" s="10"/>
    </row>
    <row r="217" spans="1:9">
      <c r="A217" s="76" t="s">
        <v>232</v>
      </c>
      <c r="B217" s="55" t="s">
        <v>130</v>
      </c>
      <c r="C217" s="65">
        <v>2498.06</v>
      </c>
      <c r="D217" s="30">
        <v>0</v>
      </c>
      <c r="E217" s="19">
        <v>0</v>
      </c>
      <c r="G217" s="11"/>
      <c r="H217" s="10"/>
      <c r="I217" s="10"/>
    </row>
    <row r="218" spans="1:9">
      <c r="A218" s="76" t="s">
        <v>233</v>
      </c>
      <c r="B218" s="55" t="s">
        <v>53</v>
      </c>
      <c r="C218" s="65">
        <v>2049.09</v>
      </c>
      <c r="D218" s="30">
        <v>0</v>
      </c>
      <c r="E218" s="19">
        <v>0</v>
      </c>
      <c r="G218" s="11"/>
      <c r="H218" s="10"/>
      <c r="I218" s="10"/>
    </row>
    <row r="219" spans="1:9">
      <c r="A219" s="76" t="s">
        <v>234</v>
      </c>
      <c r="B219" s="55" t="s">
        <v>26</v>
      </c>
      <c r="C219" s="18">
        <f>3700.05+1332.34+2920+2376.13+2881.07+2026.75+7111.03+2025.09+3761.61+4274.48+9133.2</f>
        <v>41541.75</v>
      </c>
      <c r="D219" s="30">
        <f>8+3.5+6+4.5+7+7+3.5+3.5+6+2.5</f>
        <v>51.5</v>
      </c>
      <c r="E219" s="19">
        <f>9089.71+4164.69+7305.2+5329.83+8387.26+8536.91+4193.63+4193.63+7803.1+3092.06</f>
        <v>62096.02</v>
      </c>
      <c r="G219" s="11"/>
      <c r="H219" s="10"/>
      <c r="I219" s="10"/>
    </row>
    <row r="220" spans="1:9">
      <c r="A220" s="76" t="s">
        <v>235</v>
      </c>
      <c r="B220" s="17" t="s">
        <v>236</v>
      </c>
      <c r="C220" s="18">
        <f>7187.25+11145.9+14599.44+1185.26+4080.84+12405.58+9469.79+9383.96+1118.71</f>
        <v>70576.73000000001</v>
      </c>
      <c r="D220" s="30">
        <f>8.5+11.5+5+12+5+7.5+14+10+14+3.5+8+4.5</f>
        <v>103.5</v>
      </c>
      <c r="E220" s="19">
        <f>13033.77+7190.98+3244.02+7555.74+3219.46+4894.69+8384.01+6347.84+8687.48+2137.78+4826.38+2756.78</f>
        <v>72278.930000000008</v>
      </c>
      <c r="G220" s="11"/>
      <c r="H220" s="10"/>
      <c r="I220" s="10"/>
    </row>
    <row r="221" spans="1:9">
      <c r="A221" s="76" t="s">
        <v>237</v>
      </c>
      <c r="B221" s="17" t="s">
        <v>11</v>
      </c>
      <c r="C221" s="18">
        <f>1017.45+471.61</f>
        <v>1489.06</v>
      </c>
      <c r="D221" s="30">
        <v>3.5</v>
      </c>
      <c r="E221" s="19">
        <v>4053.79</v>
      </c>
      <c r="G221" s="11"/>
      <c r="H221" s="10"/>
      <c r="I221" s="10"/>
    </row>
    <row r="222" spans="1:9">
      <c r="A222" s="76" t="s">
        <v>238</v>
      </c>
      <c r="B222" s="17" t="s">
        <v>239</v>
      </c>
      <c r="C222" s="18">
        <f>2350.19+2415.16</f>
        <v>4765.3500000000004</v>
      </c>
      <c r="D222" s="30">
        <f>0+1.5+1.5</f>
        <v>3</v>
      </c>
      <c r="E222" s="19">
        <f>0+1828.45+1920.41</f>
        <v>3748.86</v>
      </c>
      <c r="G222" s="11"/>
      <c r="H222" s="10"/>
      <c r="I222" s="10"/>
    </row>
    <row r="223" spans="1:9">
      <c r="A223" s="76" t="s">
        <v>240</v>
      </c>
      <c r="B223" s="17" t="s">
        <v>17</v>
      </c>
      <c r="C223" s="18">
        <v>1748.02</v>
      </c>
      <c r="D223" s="30">
        <v>1.5</v>
      </c>
      <c r="E223" s="19">
        <v>755.89</v>
      </c>
      <c r="G223" s="11"/>
      <c r="H223" s="10"/>
      <c r="I223" s="10"/>
    </row>
    <row r="224" spans="1:9">
      <c r="A224" s="76" t="s">
        <v>241</v>
      </c>
      <c r="B224" s="17" t="s">
        <v>53</v>
      </c>
      <c r="C224" s="18">
        <v>750.37</v>
      </c>
      <c r="D224" s="30">
        <v>3.5</v>
      </c>
      <c r="E224" s="19">
        <v>3089.47</v>
      </c>
      <c r="G224" s="11"/>
      <c r="H224" s="10"/>
      <c r="I224" s="10"/>
    </row>
    <row r="225" spans="1:9">
      <c r="A225" s="76" t="s">
        <v>242</v>
      </c>
      <c r="B225" s="17" t="s">
        <v>26</v>
      </c>
      <c r="C225" s="18">
        <f>2198.53+1424.94+1424.36+2764.09+315.37</f>
        <v>8127.29</v>
      </c>
      <c r="D225" s="30">
        <f>3.5+3.5+2.5+3.5+3.5+1.5</f>
        <v>18</v>
      </c>
      <c r="E225" s="19">
        <f>3930.39+4410.19+3219.85+4410.19+4410.19+1920.41</f>
        <v>22301.219999999998</v>
      </c>
      <c r="G225" s="11"/>
      <c r="H225" s="10"/>
      <c r="I225" s="10"/>
    </row>
    <row r="226" spans="1:9">
      <c r="A226" s="76" t="s">
        <v>243</v>
      </c>
      <c r="B226" s="17" t="s">
        <v>9</v>
      </c>
      <c r="C226" s="18">
        <v>2845.37</v>
      </c>
      <c r="D226" s="30">
        <v>1.5</v>
      </c>
      <c r="E226" s="19">
        <v>2029.51</v>
      </c>
      <c r="G226" s="11"/>
      <c r="H226" s="10"/>
      <c r="I226" s="10"/>
    </row>
    <row r="227" spans="1:9">
      <c r="A227" s="76" t="s">
        <v>244</v>
      </c>
      <c r="B227" s="17" t="s">
        <v>51</v>
      </c>
      <c r="C227" s="18">
        <v>902.86</v>
      </c>
      <c r="D227" s="30">
        <v>1.5</v>
      </c>
      <c r="E227" s="19">
        <v>1945.29</v>
      </c>
      <c r="G227" s="11"/>
      <c r="H227" s="10"/>
      <c r="I227" s="10"/>
    </row>
    <row r="228" spans="1:9">
      <c r="A228" s="76" t="s">
        <v>245</v>
      </c>
      <c r="B228" s="17" t="s">
        <v>26</v>
      </c>
      <c r="C228" s="18">
        <f>2463.11+1184.34+917.3+260+2352.45+1395.63</f>
        <v>8572.83</v>
      </c>
      <c r="D228" s="30">
        <f>5+2.5+2.5+4+1.5</f>
        <v>15.5</v>
      </c>
      <c r="E228" s="19">
        <f>6053.35+3013.45+3013.45+4965.69+1874.97</f>
        <v>18920.91</v>
      </c>
      <c r="G228" s="11"/>
      <c r="H228" s="10"/>
      <c r="I228" s="10"/>
    </row>
    <row r="229" spans="1:9">
      <c r="A229" s="76" t="s">
        <v>246</v>
      </c>
      <c r="B229" s="17" t="s">
        <v>247</v>
      </c>
      <c r="C229" s="18">
        <f>959.12+13622.25+3152.35+4763.71+2240.01+5452.96+433+5177.6</f>
        <v>35801</v>
      </c>
      <c r="D229" s="30">
        <f>6.5+2.5+7.5+5+5.5+0.5+1.5</f>
        <v>29</v>
      </c>
      <c r="E229" s="19">
        <f>8926.13+3433.07+10136.79+6757.86+7819.6+849.33+2168.27</f>
        <v>40091.049999999996</v>
      </c>
      <c r="G229" s="11"/>
      <c r="H229" s="10"/>
      <c r="I229" s="10"/>
    </row>
    <row r="230" spans="1:9">
      <c r="A230" s="76" t="s">
        <v>248</v>
      </c>
      <c r="B230" s="17" t="s">
        <v>249</v>
      </c>
      <c r="C230" s="18">
        <v>1308.4100000000001</v>
      </c>
      <c r="D230" s="30">
        <v>2.5</v>
      </c>
      <c r="E230" s="19">
        <v>3214.06</v>
      </c>
      <c r="G230" s="11"/>
      <c r="H230" s="10"/>
      <c r="I230" s="10"/>
    </row>
    <row r="231" spans="1:9">
      <c r="A231" s="76" t="s">
        <v>250</v>
      </c>
      <c r="B231" s="17" t="s">
        <v>11</v>
      </c>
      <c r="C231" s="18">
        <v>1879.96</v>
      </c>
      <c r="D231" s="30">
        <v>0</v>
      </c>
      <c r="E231" s="19">
        <v>0</v>
      </c>
      <c r="G231" s="11"/>
      <c r="H231" s="10"/>
      <c r="I231" s="10"/>
    </row>
    <row r="232" spans="1:9">
      <c r="A232" s="76" t="s">
        <v>251</v>
      </c>
      <c r="B232" s="17" t="s">
        <v>26</v>
      </c>
      <c r="C232" s="18">
        <f>903.66+2671.78+3554.54+5107.27+3066.31</f>
        <v>15303.56</v>
      </c>
      <c r="D232" s="30">
        <f>3.5+3.5+1.5+3.5+3.5+4.5+2.5</f>
        <v>22.5</v>
      </c>
      <c r="E232" s="19">
        <f>4101.1+4101.11+1874.97+77.27+4101.11+4101.11+5214.73+2930.5</f>
        <v>26501.899999999998</v>
      </c>
      <c r="F232" t="s">
        <v>252</v>
      </c>
      <c r="G232" s="11"/>
      <c r="H232" s="10"/>
      <c r="I232" s="10"/>
    </row>
    <row r="233" spans="1:9">
      <c r="A233" s="76" t="s">
        <v>253</v>
      </c>
      <c r="B233" s="17" t="s">
        <v>9</v>
      </c>
      <c r="C233" s="18">
        <f>1375.43+2651.19</f>
        <v>4026.62</v>
      </c>
      <c r="D233" s="30">
        <v>1.5</v>
      </c>
      <c r="E233" s="19">
        <v>1791.5</v>
      </c>
      <c r="G233" s="11"/>
      <c r="H233" s="10"/>
      <c r="I233" s="10"/>
    </row>
    <row r="234" spans="1:9">
      <c r="A234" s="76" t="s">
        <v>254</v>
      </c>
      <c r="B234" s="17" t="s">
        <v>11</v>
      </c>
      <c r="C234" s="18">
        <f>1246.63+1178.8</f>
        <v>2425.4300000000003</v>
      </c>
      <c r="D234" s="30">
        <f>2.5+2.5</f>
        <v>5</v>
      </c>
      <c r="E234" s="19">
        <f>3036.76+3214.06</f>
        <v>6250.82</v>
      </c>
      <c r="G234" s="11"/>
      <c r="H234" s="10"/>
      <c r="I234" s="10"/>
    </row>
    <row r="235" spans="1:9">
      <c r="A235" s="76" t="s">
        <v>255</v>
      </c>
      <c r="B235" s="17" t="s">
        <v>20</v>
      </c>
      <c r="C235" s="18">
        <f>823.87+1009.62</f>
        <v>1833.49</v>
      </c>
      <c r="D235" s="30">
        <f>3.5+3.5</f>
        <v>7</v>
      </c>
      <c r="E235" s="19">
        <f>2193.94+2248.08</f>
        <v>4442.0200000000004</v>
      </c>
      <c r="G235" s="11"/>
      <c r="H235" s="10"/>
      <c r="I235" s="10"/>
    </row>
    <row r="236" spans="1:9">
      <c r="A236" s="76" t="s">
        <v>256</v>
      </c>
      <c r="B236" s="17" t="s">
        <v>20</v>
      </c>
      <c r="C236" s="18">
        <f>1338.1+3504.83</f>
        <v>4842.93</v>
      </c>
      <c r="D236" s="30">
        <v>2.5</v>
      </c>
      <c r="E236" s="19">
        <v>1629.08</v>
      </c>
      <c r="G236" s="11"/>
      <c r="H236" s="10"/>
      <c r="I236" s="10"/>
    </row>
    <row r="237" spans="1:9">
      <c r="A237" s="76" t="s">
        <v>257</v>
      </c>
      <c r="B237" s="17" t="s">
        <v>26</v>
      </c>
      <c r="C237" s="18">
        <v>3573.76</v>
      </c>
      <c r="D237" s="30">
        <v>3.5</v>
      </c>
      <c r="E237" s="19">
        <v>4125.7700000000004</v>
      </c>
      <c r="G237" s="11"/>
      <c r="H237" s="10"/>
      <c r="I237" s="10"/>
    </row>
    <row r="238" spans="1:9">
      <c r="A238" s="76" t="s">
        <v>258</v>
      </c>
      <c r="B238" s="17" t="s">
        <v>11</v>
      </c>
      <c r="C238" s="18">
        <f>4800.61+1581.56+2917.85+2303.41+3119.4</f>
        <v>14722.83</v>
      </c>
      <c r="D238" s="30">
        <f>3.5+4.5+3.5+7+4.5+3.5</f>
        <v>26.5</v>
      </c>
      <c r="E238" s="19">
        <f>3868.11+4788.93+3760.91+7277.82+4788.93+3760.91</f>
        <v>28245.61</v>
      </c>
      <c r="G238" s="11"/>
      <c r="H238" s="10"/>
      <c r="I238" s="10"/>
    </row>
    <row r="239" spans="1:9">
      <c r="A239" s="76" t="s">
        <v>259</v>
      </c>
      <c r="B239" s="17" t="s">
        <v>82</v>
      </c>
      <c r="C239" s="18">
        <v>2562.9899999999998</v>
      </c>
      <c r="D239" s="30">
        <v>5.5</v>
      </c>
      <c r="E239" s="19">
        <v>6864.75</v>
      </c>
      <c r="G239" s="11"/>
      <c r="H239" s="10"/>
      <c r="I239" s="10"/>
    </row>
    <row r="240" spans="1:9">
      <c r="A240" s="76" t="s">
        <v>260</v>
      </c>
      <c r="B240" s="17" t="s">
        <v>20</v>
      </c>
      <c r="C240" s="18">
        <v>1980.46</v>
      </c>
      <c r="D240" s="30">
        <v>2.5</v>
      </c>
      <c r="E240" s="19">
        <v>1629.08</v>
      </c>
      <c r="G240" s="11"/>
      <c r="H240" s="10"/>
      <c r="I240" s="10"/>
    </row>
    <row r="241" spans="1:9">
      <c r="A241" s="76" t="s">
        <v>261</v>
      </c>
      <c r="B241" s="17" t="s">
        <v>9</v>
      </c>
      <c r="C241" s="18">
        <v>490.1</v>
      </c>
      <c r="D241" s="30">
        <f>0+0.5</f>
        <v>0.5</v>
      </c>
      <c r="E241" s="19">
        <f>0+553.5</f>
        <v>553.5</v>
      </c>
      <c r="G241" s="11"/>
      <c r="H241" s="10"/>
      <c r="I241" s="10"/>
    </row>
    <row r="242" spans="1:9">
      <c r="A242" s="76" t="s">
        <v>262</v>
      </c>
      <c r="B242" s="17" t="s">
        <v>51</v>
      </c>
      <c r="C242" s="18">
        <v>3798.47</v>
      </c>
      <c r="D242" s="30">
        <v>1.5</v>
      </c>
      <c r="E242" s="19">
        <v>2015.21</v>
      </c>
      <c r="G242" s="11"/>
      <c r="H242" s="10"/>
      <c r="I242" s="10"/>
    </row>
    <row r="243" spans="1:9">
      <c r="A243" s="76" t="s">
        <v>263</v>
      </c>
      <c r="B243" s="17" t="s">
        <v>9</v>
      </c>
      <c r="C243" s="18">
        <v>1619.8</v>
      </c>
      <c r="D243" s="30">
        <v>1.5</v>
      </c>
      <c r="E243" s="19">
        <v>1172.5</v>
      </c>
      <c r="G243" s="11"/>
      <c r="H243" s="10"/>
      <c r="I243" s="10"/>
    </row>
    <row r="244" spans="1:9">
      <c r="A244" s="76" t="s">
        <v>264</v>
      </c>
      <c r="B244" s="17" t="s">
        <v>43</v>
      </c>
      <c r="C244" s="20">
        <f>7772.4+18232.25+30656.86+22364.17+12119.62+19655.34+21768.47+38904.96+16447.83+31698.34+21655.3+11240.57</f>
        <v>252516.10999999996</v>
      </c>
      <c r="D244" s="21">
        <f>16.5+16.5+19.5+17.5+4+14.5+10+12+12.5+18+6.5+3.5</f>
        <v>151</v>
      </c>
      <c r="E244" s="22">
        <f>27672.25+20014.56+23059.03+21563.79+6152.96+16418.7+11903.61+15770.66+14924.43+22105.16+8035.95+4298.85</f>
        <v>191919.95</v>
      </c>
      <c r="G244" s="11"/>
      <c r="H244" s="10"/>
      <c r="I244" s="10"/>
    </row>
    <row r="245" spans="1:9">
      <c r="A245" s="76" t="s">
        <v>265</v>
      </c>
      <c r="B245" s="17" t="s">
        <v>43</v>
      </c>
      <c r="C245" s="19">
        <f>5089.66+25353.69+15618.42+8918.06+20401.94+12678.9</f>
        <v>88060.669999999984</v>
      </c>
      <c r="D245" s="30">
        <f>19.5+14+14.5+9.5+11+9.5+5.5</f>
        <v>83.5</v>
      </c>
      <c r="E245" s="19">
        <f>40043.42+18550.91+19173.06+13232.91+19221.65+12611.6+6604.46</f>
        <v>129438.01000000002</v>
      </c>
      <c r="G245" s="11"/>
      <c r="H245" s="10"/>
      <c r="I245" s="10"/>
    </row>
    <row r="246" spans="1:9">
      <c r="A246" s="76" t="s">
        <v>266</v>
      </c>
      <c r="B246" s="17" t="s">
        <v>11</v>
      </c>
      <c r="C246" s="18">
        <f>2193.54+1476.56+4510.52</f>
        <v>8180.6200000000008</v>
      </c>
      <c r="D246" s="30">
        <f>3.5+2.5+3.5</f>
        <v>9.5</v>
      </c>
      <c r="E246" s="19">
        <f>3851.99+3134.68+4116.89</f>
        <v>11103.560000000001</v>
      </c>
      <c r="G246" s="11"/>
      <c r="H246" s="10"/>
      <c r="I246" s="10"/>
    </row>
    <row r="247" spans="1:9" ht="15" customHeight="1">
      <c r="A247" s="76" t="s">
        <v>267</v>
      </c>
      <c r="B247" s="17" t="s">
        <v>90</v>
      </c>
      <c r="C247" s="18">
        <v>8570.06</v>
      </c>
      <c r="D247" s="30">
        <v>4.5</v>
      </c>
      <c r="E247" s="19">
        <v>9058.7999999999993</v>
      </c>
      <c r="G247" s="11"/>
      <c r="H247" s="10"/>
      <c r="I247" s="10"/>
    </row>
    <row r="248" spans="1:9" ht="15" customHeight="1">
      <c r="A248" s="76" t="s">
        <v>268</v>
      </c>
      <c r="B248" s="79" t="s">
        <v>26</v>
      </c>
      <c r="C248" s="18">
        <v>5439.45</v>
      </c>
      <c r="D248" s="30">
        <v>1.5</v>
      </c>
      <c r="E248" s="19">
        <v>1795.69</v>
      </c>
      <c r="G248" s="11"/>
      <c r="H248" s="10"/>
      <c r="I248" s="10"/>
    </row>
    <row r="249" spans="1:9">
      <c r="A249" s="76" t="s">
        <v>269</v>
      </c>
      <c r="B249" s="17" t="s">
        <v>270</v>
      </c>
      <c r="C249" s="20">
        <f>0+2731.44+9531.01+4018.56+30503.7+4232.47+4854.69+2679.04+6697.6+7914.96+5358.08+6697.6</f>
        <v>85219.150000000009</v>
      </c>
      <c r="D249" s="21">
        <f>7.5+12.5+7.5+7.5+15.5+7+2+6+7+8.5+9.5+2.5</f>
        <v>93</v>
      </c>
      <c r="E249" s="22">
        <f>16451.48+13088.05+8096.83+8602.12+25210.46+8006.95+2498.14+6635.88+7762.95+9421.92+10571.91+2708.49</f>
        <v>119055.18000000001</v>
      </c>
      <c r="F249" s="10"/>
      <c r="G249" s="10"/>
      <c r="H249" s="10"/>
      <c r="I249" s="10"/>
    </row>
    <row r="250" spans="1:9">
      <c r="A250" s="76" t="s">
        <v>271</v>
      </c>
      <c r="B250" s="17" t="s">
        <v>20</v>
      </c>
      <c r="C250" s="20">
        <f>2203.63+1270.73</f>
        <v>3474.36</v>
      </c>
      <c r="D250" s="21">
        <f>4.5+3.5</f>
        <v>8</v>
      </c>
      <c r="E250" s="22">
        <f>2758.8+2193.94</f>
        <v>4952.74</v>
      </c>
      <c r="F250" s="10"/>
      <c r="G250" s="10"/>
      <c r="H250" s="10"/>
      <c r="I250" s="10"/>
    </row>
    <row r="251" spans="1:9">
      <c r="A251" s="76" t="s">
        <v>272</v>
      </c>
      <c r="B251" s="17" t="s">
        <v>53</v>
      </c>
      <c r="C251" s="24">
        <v>1348.16</v>
      </c>
      <c r="D251" s="31">
        <v>0</v>
      </c>
      <c r="E251" s="25">
        <v>0</v>
      </c>
      <c r="F251" s="10"/>
      <c r="G251" s="10"/>
      <c r="H251" s="10"/>
      <c r="I251" s="10"/>
    </row>
    <row r="252" spans="1:9">
      <c r="A252" s="76" t="s">
        <v>273</v>
      </c>
      <c r="B252" s="17" t="s">
        <v>43</v>
      </c>
      <c r="C252" s="24">
        <f>20306.15+14986.64+7531.57+11838.32+20196.15+13275.22+8874.15+25896.2+8987.28+14767.19+15381.1+8673.08</f>
        <v>170713.05</v>
      </c>
      <c r="D252" s="31">
        <f>15+15+10.5+8+24.5+10.5+8.5+11+13+13+9+2.5</f>
        <v>140.5</v>
      </c>
      <c r="E252" s="25">
        <f>22696.66+15127.01+10329.22+7596.29+26157.23+10968.02+10118.33+11159.04+14933.84+13679.86+8721.54+2394.19</f>
        <v>153881.23000000001</v>
      </c>
      <c r="F252" s="10"/>
      <c r="G252" s="10"/>
      <c r="H252" s="10"/>
      <c r="I252" s="10"/>
    </row>
    <row r="253" spans="1:9">
      <c r="A253" s="76" t="s">
        <v>274</v>
      </c>
      <c r="B253" s="17" t="s">
        <v>26</v>
      </c>
      <c r="C253" s="24">
        <f>3154.64+5837.25+7128.61+766.04</f>
        <v>16886.54</v>
      </c>
      <c r="D253" s="31">
        <f>3.5+7.5+11.5+3.5</f>
        <v>26</v>
      </c>
      <c r="E253" s="25">
        <f>3211.47+7111.88+10784.51+3176.59</f>
        <v>24284.45</v>
      </c>
      <c r="F253" s="10"/>
      <c r="G253" s="10"/>
      <c r="H253" s="10"/>
      <c r="I253" s="10"/>
    </row>
    <row r="254" spans="1:9">
      <c r="A254" s="76" t="s">
        <v>275</v>
      </c>
      <c r="B254" s="17" t="s">
        <v>9</v>
      </c>
      <c r="C254" s="24">
        <v>3064.65</v>
      </c>
      <c r="D254" s="31">
        <v>0</v>
      </c>
      <c r="E254" s="25">
        <v>0</v>
      </c>
      <c r="F254" s="10"/>
      <c r="G254" s="10"/>
      <c r="H254" s="10"/>
      <c r="I254" s="10"/>
    </row>
    <row r="255" spans="1:9">
      <c r="A255" s="76" t="s">
        <v>276</v>
      </c>
      <c r="B255" s="17" t="s">
        <v>20</v>
      </c>
      <c r="C255" s="24">
        <v>1270.73</v>
      </c>
      <c r="D255" s="31">
        <f>3.5+0.5</f>
        <v>4</v>
      </c>
      <c r="E255" s="25">
        <f>1798.44+395.5</f>
        <v>2193.94</v>
      </c>
      <c r="F255" s="10"/>
      <c r="G255" s="10"/>
      <c r="H255" s="10"/>
      <c r="I255" s="10"/>
    </row>
    <row r="256" spans="1:9">
      <c r="A256" s="76" t="s">
        <v>277</v>
      </c>
      <c r="B256" s="17" t="s">
        <v>11</v>
      </c>
      <c r="C256" s="24">
        <f>9731.44+3150.43+2484.38+3441.74</f>
        <v>18807.989999999998</v>
      </c>
      <c r="D256" s="31">
        <f>5+2.5+2.5+2.5+1.5</f>
        <v>14</v>
      </c>
      <c r="E256" s="25">
        <f>4547+2588.95+2588.95+2273.5+1398.61</f>
        <v>13397.01</v>
      </c>
      <c r="F256" s="10"/>
      <c r="G256" s="10"/>
      <c r="H256" s="10"/>
      <c r="I256" s="10"/>
    </row>
    <row r="257" spans="1:9">
      <c r="A257" s="76" t="s">
        <v>278</v>
      </c>
      <c r="B257" s="79" t="s">
        <v>11</v>
      </c>
      <c r="C257" s="24">
        <v>5578.45</v>
      </c>
      <c r="D257" s="31">
        <v>0.5</v>
      </c>
      <c r="E257" s="25">
        <v>814.59</v>
      </c>
      <c r="F257" s="10"/>
      <c r="G257" s="10"/>
      <c r="H257" s="10"/>
      <c r="I257" s="10"/>
    </row>
    <row r="258" spans="1:9">
      <c r="A258" s="76" t="s">
        <v>279</v>
      </c>
      <c r="B258" s="17" t="s">
        <v>26</v>
      </c>
      <c r="C258" s="18">
        <f>1936.99+1469+1447.2+1307.8</f>
        <v>6160.99</v>
      </c>
      <c r="D258" s="30">
        <f>5.5+7+3.5</f>
        <v>16</v>
      </c>
      <c r="E258" s="19">
        <f>6347.64+8136.94+4025.61+80.6</f>
        <v>18590.789999999997</v>
      </c>
      <c r="F258" s="10"/>
      <c r="G258" s="10"/>
      <c r="H258" s="10"/>
      <c r="I258" s="10"/>
    </row>
    <row r="259" spans="1:9">
      <c r="A259" s="76" t="s">
        <v>280</v>
      </c>
      <c r="B259" s="17" t="s">
        <v>53</v>
      </c>
      <c r="C259" s="18">
        <v>2695.25</v>
      </c>
      <c r="D259" s="30">
        <v>0</v>
      </c>
      <c r="E259" s="19">
        <v>0</v>
      </c>
      <c r="F259" s="10"/>
      <c r="G259" s="10"/>
      <c r="H259" s="10"/>
      <c r="I259" s="10"/>
    </row>
    <row r="260" spans="1:9">
      <c r="A260" s="76" t="s">
        <v>281</v>
      </c>
      <c r="B260" s="17" t="s">
        <v>20</v>
      </c>
      <c r="C260" s="18">
        <f>2025.81+4783.26</f>
        <v>6809.07</v>
      </c>
      <c r="D260" s="30">
        <v>2.5</v>
      </c>
      <c r="E260" s="19">
        <v>1629.08</v>
      </c>
      <c r="F260" s="10"/>
      <c r="G260" s="10"/>
      <c r="H260" s="10"/>
      <c r="I260" s="10"/>
    </row>
    <row r="261" spans="1:9">
      <c r="A261" s="76" t="s">
        <v>282</v>
      </c>
      <c r="B261" s="17" t="s">
        <v>26</v>
      </c>
      <c r="C261" s="18">
        <f>4193.5+4783.26</f>
        <v>8976.76</v>
      </c>
      <c r="D261" s="30">
        <v>3.5</v>
      </c>
      <c r="E261" s="19">
        <v>3923.92</v>
      </c>
      <c r="F261" s="10"/>
      <c r="G261" s="10"/>
      <c r="H261" s="10"/>
      <c r="I261" s="10"/>
    </row>
    <row r="262" spans="1:9">
      <c r="A262" s="76" t="s">
        <v>283</v>
      </c>
      <c r="B262" s="17" t="s">
        <v>26</v>
      </c>
      <c r="C262" s="18">
        <f>3449.46+1265.68+1189.5+1980.41</f>
        <v>7885.05</v>
      </c>
      <c r="D262" s="30">
        <f>9.5+2.5</f>
        <v>12</v>
      </c>
      <c r="E262" s="19">
        <f>11460.73+3103.95</f>
        <v>14564.68</v>
      </c>
      <c r="F262" s="10"/>
      <c r="G262" s="10"/>
      <c r="H262" s="10"/>
      <c r="I262" s="10"/>
    </row>
    <row r="263" spans="1:9">
      <c r="A263" s="76" t="s">
        <v>284</v>
      </c>
      <c r="B263" s="17" t="s">
        <v>17</v>
      </c>
      <c r="C263" s="18">
        <v>1582.01</v>
      </c>
      <c r="D263" s="30">
        <v>1.5</v>
      </c>
      <c r="E263" s="19">
        <v>1064.98</v>
      </c>
      <c r="F263" s="10"/>
      <c r="G263" s="10"/>
      <c r="H263" s="10"/>
      <c r="I263" s="10"/>
    </row>
    <row r="264" spans="1:9">
      <c r="A264" s="76" t="s">
        <v>285</v>
      </c>
      <c r="B264" s="17" t="s">
        <v>9</v>
      </c>
      <c r="C264" s="18">
        <f>3559.91+4872.53</f>
        <v>8432.4399999999987</v>
      </c>
      <c r="D264" s="30">
        <v>0</v>
      </c>
      <c r="E264" s="19">
        <v>0</v>
      </c>
      <c r="F264" s="10"/>
      <c r="G264" s="10"/>
      <c r="H264" s="10"/>
      <c r="I264" s="10"/>
    </row>
    <row r="265" spans="1:9">
      <c r="A265" s="76" t="s">
        <v>286</v>
      </c>
      <c r="B265" s="17" t="s">
        <v>11</v>
      </c>
      <c r="C265" s="18">
        <v>2093.2600000000002</v>
      </c>
      <c r="D265" s="30">
        <v>1.5</v>
      </c>
      <c r="E265" s="19">
        <v>1921.23</v>
      </c>
      <c r="F265" s="10"/>
      <c r="G265" s="10"/>
      <c r="H265" s="10"/>
      <c r="I265" s="10"/>
    </row>
    <row r="266" spans="1:9">
      <c r="A266" s="76" t="s">
        <v>287</v>
      </c>
      <c r="B266" s="17" t="s">
        <v>9</v>
      </c>
      <c r="C266" s="18">
        <v>496.33</v>
      </c>
      <c r="D266" s="30">
        <v>1</v>
      </c>
      <c r="E266" s="19">
        <v>803</v>
      </c>
      <c r="F266" s="10"/>
      <c r="G266" s="10"/>
      <c r="H266" s="10"/>
      <c r="I266" s="10"/>
    </row>
    <row r="267" spans="1:9">
      <c r="A267" s="76" t="s">
        <v>288</v>
      </c>
      <c r="B267" s="79" t="s">
        <v>53</v>
      </c>
      <c r="C267" s="18">
        <v>3088.75</v>
      </c>
      <c r="D267" s="30">
        <v>0</v>
      </c>
      <c r="E267" s="19">
        <v>0</v>
      </c>
      <c r="F267" s="10"/>
      <c r="G267" s="10"/>
      <c r="H267" s="10"/>
      <c r="I267" s="10"/>
    </row>
    <row r="268" spans="1:9">
      <c r="A268" s="76" t="s">
        <v>289</v>
      </c>
      <c r="B268" s="17" t="s">
        <v>20</v>
      </c>
      <c r="C268" s="18">
        <f>2875.83+2785.46</f>
        <v>5661.29</v>
      </c>
      <c r="D268" s="30">
        <f>3.5+4.5</f>
        <v>8</v>
      </c>
      <c r="E268" s="19">
        <f>2193.94+2758.8</f>
        <v>4952.74</v>
      </c>
      <c r="F268" s="10"/>
      <c r="G268" s="10"/>
      <c r="H268" s="10"/>
      <c r="I268" s="10"/>
    </row>
    <row r="269" spans="1:9">
      <c r="A269" s="76" t="s">
        <v>290</v>
      </c>
      <c r="B269" s="17" t="s">
        <v>11</v>
      </c>
      <c r="C269" s="18">
        <f>2513.58+5744.94</f>
        <v>8258.52</v>
      </c>
      <c r="D269" s="30">
        <f>2.5+1.5+2.5</f>
        <v>6.5</v>
      </c>
      <c r="E269" s="19">
        <f>2196.85+1380.23+2245.93</f>
        <v>5823.01</v>
      </c>
      <c r="F269" s="10"/>
      <c r="G269" s="10"/>
      <c r="H269" s="10"/>
      <c r="I269" s="10"/>
    </row>
    <row r="270" spans="1:9">
      <c r="A270" s="76" t="s">
        <v>291</v>
      </c>
      <c r="B270" s="17" t="s">
        <v>9</v>
      </c>
      <c r="C270" s="18">
        <f>624.16+2785</f>
        <v>3409.16</v>
      </c>
      <c r="D270" s="30">
        <v>0.5</v>
      </c>
      <c r="E270" s="19">
        <v>785.03</v>
      </c>
      <c r="F270" s="10"/>
      <c r="G270" s="10"/>
      <c r="H270" s="10"/>
      <c r="I270" s="10"/>
    </row>
    <row r="271" spans="1:9">
      <c r="A271" s="76" t="s">
        <v>292</v>
      </c>
      <c r="B271" s="17" t="s">
        <v>9</v>
      </c>
      <c r="C271" s="18">
        <v>4796.96</v>
      </c>
      <c r="D271" s="30">
        <v>1.5</v>
      </c>
      <c r="E271" s="19">
        <v>1073.4000000000001</v>
      </c>
      <c r="F271" s="10"/>
      <c r="G271" s="10"/>
      <c r="H271" s="10"/>
      <c r="I271" s="10"/>
    </row>
    <row r="272" spans="1:9">
      <c r="A272" s="76" t="s">
        <v>293</v>
      </c>
      <c r="B272" s="67" t="s">
        <v>26</v>
      </c>
      <c r="C272" s="18">
        <f>1896.91+1615.54+1646.98+1210.14</f>
        <v>6369.5700000000006</v>
      </c>
      <c r="D272" s="30">
        <f>5.5+3.5+4.5+3.5+2.5</f>
        <v>19.5</v>
      </c>
      <c r="E272" s="19">
        <f>6404.49+3901.67+4715.29+3136.19+68.18+2365.54</f>
        <v>20591.36</v>
      </c>
      <c r="F272" s="10"/>
      <c r="G272" s="10"/>
      <c r="H272" s="10"/>
      <c r="I272" s="10"/>
    </row>
    <row r="273" spans="1:9">
      <c r="A273" s="76" t="s">
        <v>294</v>
      </c>
      <c r="B273" s="67" t="s">
        <v>17</v>
      </c>
      <c r="C273" s="65">
        <v>909.23</v>
      </c>
      <c r="D273" s="30">
        <v>1.5</v>
      </c>
      <c r="E273" s="19">
        <v>1172.5</v>
      </c>
      <c r="F273" s="10"/>
      <c r="G273" s="10"/>
      <c r="H273" s="10"/>
      <c r="I273" s="10"/>
    </row>
    <row r="274" spans="1:9">
      <c r="A274" s="76" t="s">
        <v>295</v>
      </c>
      <c r="B274" s="67" t="s">
        <v>130</v>
      </c>
      <c r="C274" s="65">
        <v>2498.06</v>
      </c>
      <c r="D274" s="30">
        <v>0</v>
      </c>
      <c r="E274" s="19">
        <v>0</v>
      </c>
      <c r="F274" s="10"/>
      <c r="G274" s="10"/>
      <c r="H274" s="10"/>
      <c r="I274" s="10"/>
    </row>
    <row r="275" spans="1:9">
      <c r="A275" s="76" t="s">
        <v>296</v>
      </c>
      <c r="B275" s="17" t="s">
        <v>11</v>
      </c>
      <c r="C275" s="65">
        <v>1237.06</v>
      </c>
      <c r="D275" s="30">
        <v>0</v>
      </c>
      <c r="E275" s="19">
        <v>0</v>
      </c>
      <c r="F275" s="10"/>
      <c r="G275" s="10"/>
      <c r="H275" s="10"/>
      <c r="I275" s="10"/>
    </row>
    <row r="276" spans="1:9">
      <c r="A276" s="76" t="s">
        <v>297</v>
      </c>
      <c r="B276" s="17" t="s">
        <v>43</v>
      </c>
      <c r="C276" s="69">
        <f>12675.49+8886.97+21784.11+24119.05+33810.66+12493.25+15847.06+19463.62+18384.02+26614.85+23790.13+8498.38</f>
        <v>226367.59</v>
      </c>
      <c r="D276" s="21">
        <f>25+14.5+15.5+15+19.5+17.5+16+18.5+19+14+14.5+10</f>
        <v>199</v>
      </c>
      <c r="E276" s="22">
        <f>42645.45+17249.14+18172.16+19101.47+24810.62+27288.83+20497.07+23098.99+24323.73+18147.04+20093.79+12705.43</f>
        <v>268133.72000000003</v>
      </c>
      <c r="F276" s="10"/>
      <c r="G276" s="10"/>
      <c r="H276" s="10"/>
      <c r="I276" s="10"/>
    </row>
    <row r="277" spans="1:9">
      <c r="A277" s="76" t="s">
        <v>298</v>
      </c>
      <c r="B277" s="17" t="s">
        <v>20</v>
      </c>
      <c r="C277" s="69">
        <f>764.74+1917.68+1156.97</f>
        <v>3839.3900000000003</v>
      </c>
      <c r="D277" s="21">
        <f>4.5+4.5+4.5+1.5</f>
        <v>15</v>
      </c>
      <c r="E277" s="22">
        <f>2758.8+2812.94+2812.94+1118.36</f>
        <v>9503.0400000000009</v>
      </c>
      <c r="F277" s="10"/>
      <c r="G277" s="10"/>
      <c r="H277" s="10"/>
      <c r="I277" s="10"/>
    </row>
    <row r="278" spans="1:9">
      <c r="A278" s="76" t="s">
        <v>299</v>
      </c>
      <c r="B278" s="17" t="s">
        <v>11</v>
      </c>
      <c r="C278" s="69">
        <v>0</v>
      </c>
      <c r="D278" s="21">
        <v>0.5</v>
      </c>
      <c r="E278" s="22">
        <v>540.16999999999996</v>
      </c>
      <c r="F278" s="10"/>
      <c r="G278" s="10"/>
      <c r="H278" s="10"/>
      <c r="I278" s="10"/>
    </row>
    <row r="279" spans="1:9">
      <c r="A279" s="76" t="s">
        <v>300</v>
      </c>
      <c r="B279" s="17" t="s">
        <v>43</v>
      </c>
      <c r="C279" s="65">
        <f>0+2880.18+1980.36+17377.13+5559.8+8242.19</f>
        <v>36039.660000000003</v>
      </c>
      <c r="D279" s="30">
        <f>8.5+8+1.5+2.5+1.5+1.5</f>
        <v>23.5</v>
      </c>
      <c r="E279" s="19">
        <f>14819.88+17301.26+2273.57+3541.35+2222.41+2222.41</f>
        <v>42380.880000000005</v>
      </c>
      <c r="F279" s="10"/>
      <c r="G279" s="10"/>
      <c r="H279" s="10"/>
      <c r="I279" s="10"/>
    </row>
    <row r="280" spans="1:9">
      <c r="A280" s="76" t="s">
        <v>301</v>
      </c>
      <c r="B280" s="17" t="s">
        <v>20</v>
      </c>
      <c r="C280" s="65">
        <f>1270.73+4367.63</f>
        <v>5638.3600000000006</v>
      </c>
      <c r="D280" s="30">
        <f>3.5+3.5</f>
        <v>7</v>
      </c>
      <c r="E280" s="19">
        <f>2193.94+2193.94</f>
        <v>4387.88</v>
      </c>
      <c r="G280" s="10"/>
      <c r="H280" s="10"/>
      <c r="I280" s="10"/>
    </row>
    <row r="281" spans="1:9">
      <c r="A281" s="76" t="s">
        <v>302</v>
      </c>
      <c r="B281" s="17" t="s">
        <v>11</v>
      </c>
      <c r="C281" s="65">
        <v>801</v>
      </c>
      <c r="D281" s="30">
        <v>2.5</v>
      </c>
      <c r="E281" s="19">
        <v>2757.25</v>
      </c>
      <c r="G281" s="10"/>
      <c r="H281" s="10"/>
      <c r="I281" s="10"/>
    </row>
    <row r="282" spans="1:9">
      <c r="A282" s="76" t="s">
        <v>303</v>
      </c>
      <c r="B282" s="17" t="s">
        <v>9</v>
      </c>
      <c r="C282" s="65">
        <v>1432.71</v>
      </c>
      <c r="D282" s="30">
        <v>1.5</v>
      </c>
      <c r="E282" s="19">
        <v>1172.5</v>
      </c>
      <c r="G282" s="10"/>
      <c r="H282" s="10"/>
      <c r="I282" s="10"/>
    </row>
    <row r="283" spans="1:9">
      <c r="A283" s="76" t="s">
        <v>304</v>
      </c>
      <c r="B283" s="68" t="s">
        <v>43</v>
      </c>
      <c r="C283" s="66">
        <f>7178.52+6786.52+12615.78+7986.91+13592.55+4153.17+22135.45+5407.59+12351.04+7103.56</f>
        <v>99311.09</v>
      </c>
      <c r="D283" s="21">
        <f>11+9+4+7+10+8+6+8+4.5+11.5+5+4.5</f>
        <v>88.5</v>
      </c>
      <c r="E283" s="25">
        <f>17675.8+11686.6+5465.15+9618.26+13728.56+11090.68+8401.64+11283.52+6179.23+16143.81+6838.7+6179.23</f>
        <v>124291.18</v>
      </c>
      <c r="G283" s="10"/>
      <c r="H283" s="10"/>
      <c r="I283" s="10"/>
    </row>
    <row r="284" spans="1:9">
      <c r="A284" s="76" t="s">
        <v>305</v>
      </c>
      <c r="B284" s="68" t="s">
        <v>306</v>
      </c>
      <c r="C284" s="65">
        <v>1227.83</v>
      </c>
      <c r="D284" s="30">
        <v>2.5</v>
      </c>
      <c r="E284" s="19">
        <v>3078.04</v>
      </c>
      <c r="G284" s="10"/>
      <c r="H284" s="10"/>
      <c r="I284" s="10"/>
    </row>
    <row r="285" spans="1:9">
      <c r="A285" s="76" t="s">
        <v>307</v>
      </c>
      <c r="B285" s="68" t="s">
        <v>53</v>
      </c>
      <c r="C285" s="65">
        <v>5187.58</v>
      </c>
      <c r="D285" s="30">
        <v>0</v>
      </c>
      <c r="E285" s="19">
        <v>0</v>
      </c>
      <c r="G285" s="10"/>
      <c r="H285" s="10"/>
      <c r="I285" s="10"/>
    </row>
    <row r="286" spans="1:9">
      <c r="A286" s="76" t="s">
        <v>308</v>
      </c>
      <c r="B286" s="68" t="s">
        <v>9</v>
      </c>
      <c r="C286" s="65">
        <v>1782.12</v>
      </c>
      <c r="D286" s="30">
        <v>1.5</v>
      </c>
      <c r="E286" s="19">
        <v>1040.68</v>
      </c>
      <c r="G286" s="10"/>
      <c r="H286" s="10"/>
      <c r="I286" s="10"/>
    </row>
    <row r="287" spans="1:9">
      <c r="A287" s="76" t="s">
        <v>309</v>
      </c>
      <c r="B287" s="17" t="s">
        <v>11</v>
      </c>
      <c r="C287" s="65">
        <v>4417.58</v>
      </c>
      <c r="D287" s="30">
        <v>2.5</v>
      </c>
      <c r="E287" s="19">
        <v>3111.57</v>
      </c>
      <c r="G287" s="10"/>
      <c r="H287" s="10"/>
      <c r="I287" s="10"/>
    </row>
    <row r="288" spans="1:9">
      <c r="A288" s="76" t="s">
        <v>310</v>
      </c>
      <c r="B288" s="68" t="s">
        <v>20</v>
      </c>
      <c r="C288" s="65">
        <v>2274.64</v>
      </c>
      <c r="D288" s="30">
        <v>5.5</v>
      </c>
      <c r="E288" s="19">
        <v>2756.3</v>
      </c>
      <c r="G288" s="10"/>
      <c r="H288" s="10"/>
      <c r="I288" s="10"/>
    </row>
    <row r="289" spans="1:9">
      <c r="A289" s="76" t="s">
        <v>311</v>
      </c>
      <c r="B289" s="68" t="s">
        <v>53</v>
      </c>
      <c r="C289" s="65">
        <v>2695.25</v>
      </c>
      <c r="D289" s="30">
        <v>0</v>
      </c>
      <c r="E289" s="19">
        <v>0</v>
      </c>
      <c r="G289" s="10"/>
      <c r="H289" s="10"/>
      <c r="I289" s="10"/>
    </row>
    <row r="290" spans="1:9">
      <c r="A290" s="76" t="s">
        <v>312</v>
      </c>
      <c r="B290" s="68" t="s">
        <v>51</v>
      </c>
      <c r="C290" s="65">
        <v>4698.5</v>
      </c>
      <c r="D290" s="30">
        <v>1.5</v>
      </c>
      <c r="E290" s="19">
        <v>1945.29</v>
      </c>
      <c r="G290" s="10"/>
      <c r="H290" s="10"/>
      <c r="I290" s="10"/>
    </row>
    <row r="291" spans="1:9">
      <c r="A291" s="76" t="s">
        <v>313</v>
      </c>
      <c r="B291" s="68" t="s">
        <v>53</v>
      </c>
      <c r="C291" s="65">
        <v>1684.71</v>
      </c>
      <c r="D291" s="30">
        <v>3.5</v>
      </c>
      <c r="E291" s="19">
        <v>2288.5</v>
      </c>
      <c r="G291" s="10"/>
      <c r="H291" s="10"/>
      <c r="I291" s="10"/>
    </row>
    <row r="292" spans="1:9">
      <c r="A292" s="76" t="s">
        <v>314</v>
      </c>
      <c r="B292" s="68" t="s">
        <v>9</v>
      </c>
      <c r="C292" s="65">
        <v>4386.5200000000004</v>
      </c>
      <c r="D292" s="30">
        <f>11.5+1.5</f>
        <v>13</v>
      </c>
      <c r="E292" s="19">
        <f>5902.9+968.68</f>
        <v>6871.58</v>
      </c>
      <c r="G292" s="10"/>
      <c r="H292" s="10"/>
      <c r="I292" s="10"/>
    </row>
    <row r="293" spans="1:9">
      <c r="A293" s="76" t="s">
        <v>315</v>
      </c>
      <c r="B293" s="68" t="s">
        <v>9</v>
      </c>
      <c r="C293" s="65">
        <v>2349.4899999999998</v>
      </c>
      <c r="D293" s="30">
        <v>1.5</v>
      </c>
      <c r="E293" s="19">
        <v>899.14</v>
      </c>
      <c r="G293" s="10"/>
      <c r="H293" s="10"/>
      <c r="I293" s="10"/>
    </row>
    <row r="294" spans="1:9">
      <c r="A294" s="76" t="s">
        <v>316</v>
      </c>
      <c r="B294" s="68" t="s">
        <v>11</v>
      </c>
      <c r="C294" s="65">
        <f>2283.27+3017.27+5945.48+4507.13+11748</f>
        <v>27501.15</v>
      </c>
      <c r="D294" s="30">
        <f>4.5+4.5+4.5+3.5+6.5</f>
        <v>23.5</v>
      </c>
      <c r="E294" s="19">
        <f>5160.32+5540.54+5479.46+80.6+3946.03+7070.42</f>
        <v>27277.370000000003</v>
      </c>
      <c r="G294" s="10"/>
      <c r="H294" s="10"/>
      <c r="I294" s="10"/>
    </row>
    <row r="295" spans="1:9">
      <c r="A295" s="76" t="s">
        <v>317</v>
      </c>
      <c r="B295" s="68" t="s">
        <v>11</v>
      </c>
      <c r="C295" s="65">
        <f>1515.61+1326.64</f>
        <v>2842.25</v>
      </c>
      <c r="D295" s="30">
        <v>0.5</v>
      </c>
      <c r="E295" s="19">
        <v>750.9</v>
      </c>
      <c r="G295" s="10"/>
      <c r="H295" s="10"/>
      <c r="I295" s="10"/>
    </row>
    <row r="296" spans="1:9">
      <c r="A296" s="76" t="s">
        <v>318</v>
      </c>
      <c r="B296" s="68" t="s">
        <v>20</v>
      </c>
      <c r="C296" s="65">
        <v>1501.6</v>
      </c>
      <c r="D296" s="30">
        <v>4.5</v>
      </c>
      <c r="E296" s="19">
        <v>2812.94</v>
      </c>
      <c r="G296" s="10"/>
      <c r="H296" s="10"/>
      <c r="I296" s="10"/>
    </row>
    <row r="297" spans="1:9">
      <c r="A297" s="76" t="s">
        <v>319</v>
      </c>
      <c r="B297" s="68" t="s">
        <v>9</v>
      </c>
      <c r="C297" s="65">
        <v>3303.39</v>
      </c>
      <c r="D297" s="30">
        <v>1.5</v>
      </c>
      <c r="E297" s="19">
        <v>1172.5</v>
      </c>
      <c r="G297" s="10"/>
      <c r="H297" s="10"/>
      <c r="I297" s="10"/>
    </row>
    <row r="298" spans="1:9">
      <c r="A298" s="76" t="s">
        <v>320</v>
      </c>
      <c r="B298" s="68" t="s">
        <v>306</v>
      </c>
      <c r="C298" s="65">
        <v>2611.19</v>
      </c>
      <c r="D298" s="30">
        <v>1.5</v>
      </c>
      <c r="E298" s="19">
        <v>1920.33</v>
      </c>
      <c r="G298" s="10"/>
      <c r="H298" s="10"/>
      <c r="I298" s="10"/>
    </row>
    <row r="299" spans="1:9">
      <c r="A299" s="76" t="s">
        <v>321</v>
      </c>
      <c r="B299" s="17" t="s">
        <v>26</v>
      </c>
      <c r="C299" s="65">
        <f>1936.99+1140.91+5276.86+1447.2+4123.46+2907.77+5390.59+3420.53</f>
        <v>25644.31</v>
      </c>
      <c r="D299" s="30">
        <f>5.5+3.5+3.5+9.5+4.5+7+4.5+3.5</f>
        <v>41.5</v>
      </c>
      <c r="E299" s="19">
        <f>6017.99+3592.47+3592.47+10439.95+4873.13+7656.54+145.48+4663.76+3793.39</f>
        <v>44775.18</v>
      </c>
      <c r="G299" s="10"/>
      <c r="H299" s="10"/>
      <c r="I299" s="10"/>
    </row>
    <row r="300" spans="1:9">
      <c r="A300" s="76" t="s">
        <v>322</v>
      </c>
      <c r="B300" s="17" t="s">
        <v>11</v>
      </c>
      <c r="C300" s="65">
        <v>4683.6400000000003</v>
      </c>
      <c r="D300" s="30">
        <v>2.5</v>
      </c>
      <c r="E300" s="19">
        <v>2901.42</v>
      </c>
      <c r="G300" s="10"/>
      <c r="H300" s="10"/>
      <c r="I300" s="10"/>
    </row>
    <row r="301" spans="1:9">
      <c r="A301" s="76" t="s">
        <v>323</v>
      </c>
      <c r="B301" s="17" t="s">
        <v>17</v>
      </c>
      <c r="C301" s="65">
        <v>1992.5</v>
      </c>
      <c r="D301" s="30">
        <v>1.5</v>
      </c>
      <c r="E301" s="19">
        <v>1172.5</v>
      </c>
      <c r="G301" s="10"/>
      <c r="H301" s="10"/>
      <c r="I301" s="10"/>
    </row>
    <row r="302" spans="1:9">
      <c r="A302" s="76" t="s">
        <v>324</v>
      </c>
      <c r="B302" s="17" t="s">
        <v>53</v>
      </c>
      <c r="C302" s="65">
        <f>553.1+3982.13+1429.85</f>
        <v>5965.08</v>
      </c>
      <c r="D302" s="30">
        <f>0+0.5+1.5+1.5</f>
        <v>3.5</v>
      </c>
      <c r="E302" s="19">
        <f>0+755.48+1920.41+1920.41</f>
        <v>4596.3</v>
      </c>
      <c r="G302" s="10"/>
      <c r="H302" s="10"/>
      <c r="I302" s="10"/>
    </row>
    <row r="303" spans="1:9">
      <c r="A303" s="76" t="s">
        <v>325</v>
      </c>
      <c r="B303" s="17" t="s">
        <v>26</v>
      </c>
      <c r="C303" s="65">
        <f>3237.29+7887.64+8258.99+7687.61+8972.49+3525.8+6229.78+18186.42+8369.55+6781.25+4331.42</f>
        <v>83468.239999999991</v>
      </c>
      <c r="D303" s="30">
        <f>5.5+6+8.5+9.5+10+11.5+4.5+9.5+11.5+7+6</f>
        <v>89.5</v>
      </c>
      <c r="E303" s="19">
        <f>6538.54+7201.45+10292.35+12271.32+11223.52+14437.58+5665.9+17651.64+14491.72+8879.96+7626.97</f>
        <v>116280.95000000001</v>
      </c>
      <c r="G303" s="10"/>
      <c r="H303" s="10"/>
      <c r="I303" s="10"/>
    </row>
    <row r="304" spans="1:9">
      <c r="A304" s="76" t="s">
        <v>326</v>
      </c>
      <c r="B304" s="17" t="s">
        <v>53</v>
      </c>
      <c r="C304" s="65">
        <v>1436.12</v>
      </c>
      <c r="D304" s="30">
        <v>3.5</v>
      </c>
      <c r="E304" s="19">
        <v>3946.19</v>
      </c>
      <c r="G304" s="10"/>
      <c r="H304" s="10"/>
      <c r="I304" s="10"/>
    </row>
    <row r="305" spans="1:9">
      <c r="A305" s="76" t="s">
        <v>327</v>
      </c>
      <c r="B305" s="68" t="s">
        <v>11</v>
      </c>
      <c r="C305" s="65">
        <v>943.43</v>
      </c>
      <c r="D305" s="30">
        <v>2.5</v>
      </c>
      <c r="E305" s="19">
        <v>3056.2</v>
      </c>
      <c r="G305" s="10"/>
      <c r="H305" s="10"/>
      <c r="I305" s="10"/>
    </row>
    <row r="306" spans="1:9">
      <c r="A306" s="76" t="s">
        <v>328</v>
      </c>
      <c r="B306" s="17" t="s">
        <v>17</v>
      </c>
      <c r="C306" s="65">
        <v>2043.3</v>
      </c>
      <c r="D306" s="30">
        <v>0</v>
      </c>
      <c r="E306" s="19">
        <v>0</v>
      </c>
      <c r="G306" s="10"/>
      <c r="H306" s="10"/>
      <c r="I306" s="10"/>
    </row>
    <row r="307" spans="1:9">
      <c r="A307" s="76" t="s">
        <v>329</v>
      </c>
      <c r="B307" s="17" t="s">
        <v>17</v>
      </c>
      <c r="C307" s="65">
        <v>6772.71</v>
      </c>
      <c r="D307" s="30">
        <v>7.5</v>
      </c>
      <c r="E307" s="19">
        <v>12480.88</v>
      </c>
      <c r="G307" s="10"/>
      <c r="H307" s="10"/>
      <c r="I307" s="10"/>
    </row>
    <row r="308" spans="1:9">
      <c r="A308" s="76" t="s">
        <v>330</v>
      </c>
      <c r="B308" s="17" t="s">
        <v>20</v>
      </c>
      <c r="C308" s="65">
        <f>1372.63+309.36</f>
        <v>1681.9900000000002</v>
      </c>
      <c r="D308" s="30">
        <v>2.5</v>
      </c>
      <c r="E308" s="19">
        <v>1509</v>
      </c>
      <c r="G308" s="10"/>
      <c r="H308" s="10"/>
      <c r="I308" s="10"/>
    </row>
    <row r="309" spans="1:9">
      <c r="A309" s="76" t="s">
        <v>331</v>
      </c>
      <c r="B309" s="17" t="s">
        <v>26</v>
      </c>
      <c r="C309" s="65">
        <f>1501.02+3379.64+999.51+1051.2+2208.47+3370.72+4089.62+1497.32+1707.4+4252.45</f>
        <v>24057.350000000002</v>
      </c>
      <c r="D309" s="30">
        <f>4.5+7+7+4+5+4.5+3.5+8</f>
        <v>43.5</v>
      </c>
      <c r="E309" s="19">
        <f>5022.36+7908.78+8616.18+4730.36+6109.7+5380.53+4245.19+244+9326.72</f>
        <v>51583.820000000007</v>
      </c>
      <c r="G309" s="10"/>
      <c r="H309" s="10"/>
      <c r="I309" s="10"/>
    </row>
    <row r="310" spans="1:9">
      <c r="A310" s="76" t="s">
        <v>332</v>
      </c>
      <c r="B310" s="68" t="s">
        <v>20</v>
      </c>
      <c r="C310" s="69">
        <v>12619.44</v>
      </c>
      <c r="D310" s="21">
        <v>4.5</v>
      </c>
      <c r="E310" s="22">
        <v>7965.71</v>
      </c>
      <c r="I310" s="10"/>
    </row>
    <row r="311" spans="1:9">
      <c r="A311" s="76" t="s">
        <v>333</v>
      </c>
      <c r="B311" s="68" t="s">
        <v>9</v>
      </c>
      <c r="C311" s="69">
        <f>3029.18+1477.71+2203.64</f>
        <v>6710.5299999999988</v>
      </c>
      <c r="D311" s="21">
        <f>1.5+1.5</f>
        <v>3</v>
      </c>
      <c r="E311" s="22">
        <f>1172.5+1172.5</f>
        <v>2345</v>
      </c>
      <c r="I311" s="10"/>
    </row>
    <row r="312" spans="1:9">
      <c r="A312" s="76" t="s">
        <v>334</v>
      </c>
      <c r="B312" s="78" t="s">
        <v>90</v>
      </c>
      <c r="C312" s="69">
        <v>1347.37</v>
      </c>
      <c r="D312" s="21">
        <v>0</v>
      </c>
      <c r="E312" s="22">
        <v>0</v>
      </c>
      <c r="I312" s="10"/>
    </row>
    <row r="313" spans="1:9">
      <c r="A313" s="76" t="s">
        <v>335</v>
      </c>
      <c r="B313" s="78" t="s">
        <v>20</v>
      </c>
      <c r="C313" s="69">
        <v>0</v>
      </c>
      <c r="D313" s="21">
        <v>0</v>
      </c>
      <c r="E313" s="22">
        <v>68.8</v>
      </c>
      <c r="I313" s="10"/>
    </row>
    <row r="314" spans="1:9">
      <c r="A314" s="76" t="s">
        <v>336</v>
      </c>
      <c r="B314" s="55" t="s">
        <v>11</v>
      </c>
      <c r="C314" s="20">
        <f>650.1+734.75+1655.13</f>
        <v>3039.98</v>
      </c>
      <c r="D314" s="21">
        <f>0+3.5+3.5+3.5</f>
        <v>10.5</v>
      </c>
      <c r="E314" s="22">
        <f>0+3957.83+4193.63+4193.63</f>
        <v>12345.09</v>
      </c>
      <c r="I314" s="10"/>
    </row>
    <row r="315" spans="1:9">
      <c r="A315" s="76" t="s">
        <v>337</v>
      </c>
      <c r="B315" s="55" t="s">
        <v>53</v>
      </c>
      <c r="C315" s="20">
        <f>5285.9+889.96</f>
        <v>6175.86</v>
      </c>
      <c r="D315" s="21">
        <v>0</v>
      </c>
      <c r="E315" s="22">
        <v>0</v>
      </c>
      <c r="I315" s="10"/>
    </row>
    <row r="316" spans="1:9">
      <c r="A316" s="76" t="s">
        <v>338</v>
      </c>
      <c r="B316" s="55" t="s">
        <v>9</v>
      </c>
      <c r="C316" s="20">
        <v>1190.71</v>
      </c>
      <c r="D316" s="21">
        <v>1.5</v>
      </c>
      <c r="E316" s="22">
        <v>1172.5</v>
      </c>
      <c r="I316" s="10"/>
    </row>
    <row r="317" spans="1:9">
      <c r="A317" s="76" t="s">
        <v>339</v>
      </c>
      <c r="B317" s="55" t="s">
        <v>11</v>
      </c>
      <c r="C317" s="20">
        <f>3196.7+1217.71</f>
        <v>4414.41</v>
      </c>
      <c r="D317" s="21">
        <f>1.5+1.5</f>
        <v>3</v>
      </c>
      <c r="E317" s="22">
        <f>1786.33+1893.15</f>
        <v>3679.48</v>
      </c>
      <c r="I317" s="10"/>
    </row>
    <row r="318" spans="1:9">
      <c r="A318" s="76" t="s">
        <v>340</v>
      </c>
      <c r="B318" s="17" t="s">
        <v>20</v>
      </c>
      <c r="C318" s="20">
        <v>0</v>
      </c>
      <c r="D318" s="21">
        <v>4.5</v>
      </c>
      <c r="E318" s="22">
        <v>7098.1</v>
      </c>
      <c r="I318" s="10"/>
    </row>
    <row r="319" spans="1:9">
      <c r="A319" s="76" t="s">
        <v>341</v>
      </c>
      <c r="B319" s="17" t="s">
        <v>20</v>
      </c>
      <c r="C319" s="20">
        <f>764.74+2546.25+970.3</f>
        <v>4281.29</v>
      </c>
      <c r="D319" s="21">
        <f>4.5+3.5+3.5</f>
        <v>11.5</v>
      </c>
      <c r="E319" s="22">
        <f>2250.3+2248.08+2193.94</f>
        <v>6692.32</v>
      </c>
      <c r="F319" s="10"/>
      <c r="G319" s="10"/>
      <c r="H319" s="10"/>
      <c r="I319" s="10"/>
    </row>
    <row r="320" spans="1:9">
      <c r="A320" s="76" t="s">
        <v>342</v>
      </c>
      <c r="B320" s="17" t="s">
        <v>90</v>
      </c>
      <c r="C320" s="20">
        <v>0</v>
      </c>
      <c r="D320" s="21">
        <v>0</v>
      </c>
      <c r="E320" s="22">
        <v>68.8</v>
      </c>
      <c r="F320" s="10"/>
      <c r="G320" s="10"/>
      <c r="H320" s="10"/>
      <c r="I320" s="10"/>
    </row>
    <row r="321" spans="1:9">
      <c r="A321" s="76" t="s">
        <v>343</v>
      </c>
      <c r="B321" s="55" t="s">
        <v>9</v>
      </c>
      <c r="C321" s="20">
        <v>16225.68</v>
      </c>
      <c r="D321" s="21">
        <v>5.5</v>
      </c>
      <c r="E321" s="22">
        <v>3648.5</v>
      </c>
      <c r="F321" s="10"/>
      <c r="G321" s="10"/>
      <c r="H321" s="10"/>
      <c r="I321" s="10"/>
    </row>
    <row r="322" spans="1:9">
      <c r="A322" s="76" t="s">
        <v>344</v>
      </c>
      <c r="B322" s="17" t="s">
        <v>11</v>
      </c>
      <c r="C322" s="27">
        <f>1718.26+2168.26+1141+2314.85+1813.97+2462.98</f>
        <v>11619.32</v>
      </c>
      <c r="D322" s="21">
        <f>0+3.5+2.5+2.5+3.5+3.5+3.5</f>
        <v>19</v>
      </c>
      <c r="E322" s="22">
        <f>0+3957.83+2889+3057.43+4193.63+4247.77+4193.63</f>
        <v>22539.29</v>
      </c>
      <c r="F322" s="10"/>
      <c r="G322" s="10"/>
      <c r="H322" s="10"/>
      <c r="I322" s="10"/>
    </row>
    <row r="323" spans="1:9">
      <c r="A323" s="76" t="s">
        <v>345</v>
      </c>
      <c r="B323" s="17" t="s">
        <v>20</v>
      </c>
      <c r="C323" s="27">
        <v>2331.31</v>
      </c>
      <c r="D323" s="21">
        <v>2.5</v>
      </c>
      <c r="E323" s="22">
        <v>1346.58</v>
      </c>
      <c r="F323" s="10"/>
      <c r="G323" s="10"/>
      <c r="H323" s="10"/>
      <c r="I323" s="10"/>
    </row>
    <row r="324" spans="1:9">
      <c r="A324" s="76" t="s">
        <v>346</v>
      </c>
      <c r="B324" s="17" t="s">
        <v>26</v>
      </c>
      <c r="C324" s="18">
        <f>2053.39+5106.01+903.66+2536.43+8930.98+27904.49+8461.24+5140.63+6218.27+4386.52+4914.29</f>
        <v>76555.91</v>
      </c>
      <c r="D324" s="30">
        <f>5.5+3.5+3.5+8+4.5+9.5+11.5+7+9.5+3.5+1.5</f>
        <v>67.5</v>
      </c>
      <c r="E324" s="19">
        <f>6017.35+3851.99+3932.59+9325.8+4107.85+15661.78+80.6+11955.73+7453.5+10258.49+3726.74+1687.79</f>
        <v>78060.210000000006</v>
      </c>
      <c r="F324" s="10"/>
      <c r="G324" s="10"/>
      <c r="H324" s="10"/>
      <c r="I324" s="10"/>
    </row>
    <row r="325" spans="1:9">
      <c r="A325" s="76" t="s">
        <v>347</v>
      </c>
      <c r="B325" s="67" t="s">
        <v>20</v>
      </c>
      <c r="C325" s="18">
        <f>3375.82+1731.43</f>
        <v>5107.25</v>
      </c>
      <c r="D325" s="30">
        <f>2.5+4.5</f>
        <v>7</v>
      </c>
      <c r="E325" s="19">
        <f>1798.44+2304.44</f>
        <v>4102.88</v>
      </c>
      <c r="F325" s="10"/>
      <c r="G325" s="10"/>
      <c r="H325" s="10"/>
      <c r="I325" s="10"/>
    </row>
    <row r="326" spans="1:9">
      <c r="A326" s="76" t="s">
        <v>348</v>
      </c>
      <c r="B326" s="67" t="s">
        <v>20</v>
      </c>
      <c r="C326" s="18">
        <f>909.6+2716.24+1211.03+2503.88+185+185</f>
        <v>7710.75</v>
      </c>
      <c r="D326" s="30">
        <f>2.5+2.5+8</f>
        <v>13</v>
      </c>
      <c r="E326" s="19">
        <f>1346.58+1346.58+4224.88</f>
        <v>6918.04</v>
      </c>
      <c r="F326" s="10"/>
      <c r="G326" s="10"/>
      <c r="H326" s="10"/>
      <c r="I326" s="10"/>
    </row>
    <row r="327" spans="1:9">
      <c r="A327" s="76" t="s">
        <v>349</v>
      </c>
      <c r="B327" s="67" t="s">
        <v>9</v>
      </c>
      <c r="C327" s="18">
        <f>2106.02+1315.38</f>
        <v>3421.4</v>
      </c>
      <c r="D327" s="30">
        <f>1.5+4.5</f>
        <v>6</v>
      </c>
      <c r="E327" s="19">
        <f>929.04+2542.58</f>
        <v>3471.62</v>
      </c>
      <c r="F327" s="10"/>
      <c r="G327" s="10"/>
      <c r="H327" s="10"/>
      <c r="I327" s="10"/>
    </row>
    <row r="328" spans="1:9">
      <c r="A328" s="76" t="s">
        <v>350</v>
      </c>
      <c r="B328" s="26" t="s">
        <v>26</v>
      </c>
      <c r="C328" s="18">
        <f>2142.54+1615.54+2247.4+1259.64+2665.99+2907.77+568.7+6447.86</f>
        <v>19855.440000000002</v>
      </c>
      <c r="D328" s="30">
        <f>4.5+3.5+4.5+7+2.5+7+3.5</f>
        <v>32.5</v>
      </c>
      <c r="E328" s="19">
        <f>5288.32+4161.25+5022.36+8380.38+3054.85+8380.38+55+4190.19</f>
        <v>38532.729999999996</v>
      </c>
      <c r="F328" s="10"/>
      <c r="G328" s="10"/>
      <c r="H328" s="10"/>
      <c r="I328" s="10"/>
    </row>
    <row r="329" spans="1:9">
      <c r="A329" s="76" t="s">
        <v>351</v>
      </c>
      <c r="B329" s="26" t="s">
        <v>9</v>
      </c>
      <c r="C329" s="18">
        <f>1336.3+1342.74</f>
        <v>2679.04</v>
      </c>
      <c r="D329" s="30">
        <f>2.5+2.5</f>
        <v>5</v>
      </c>
      <c r="E329" s="19">
        <f>1382.5+1356.73</f>
        <v>2739.23</v>
      </c>
      <c r="F329" s="10"/>
      <c r="G329" s="10"/>
      <c r="H329" s="10"/>
      <c r="I329" s="10"/>
    </row>
    <row r="330" spans="1:9">
      <c r="A330" s="76" t="s">
        <v>352</v>
      </c>
      <c r="B330" s="26" t="s">
        <v>17</v>
      </c>
      <c r="C330" s="18">
        <v>888.29</v>
      </c>
      <c r="D330" s="30">
        <v>1.5</v>
      </c>
      <c r="E330" s="19">
        <v>1152.05</v>
      </c>
      <c r="F330" s="10"/>
      <c r="G330" s="10"/>
      <c r="H330" s="10"/>
      <c r="I330" s="10"/>
    </row>
    <row r="331" spans="1:9">
      <c r="A331" s="76" t="s">
        <v>353</v>
      </c>
      <c r="B331" s="26" t="s">
        <v>9</v>
      </c>
      <c r="C331" s="18">
        <v>707.01</v>
      </c>
      <c r="D331" s="30">
        <v>2.5</v>
      </c>
      <c r="E331" s="19">
        <v>1611.05</v>
      </c>
      <c r="F331" s="10"/>
      <c r="G331" s="10"/>
      <c r="H331" s="10"/>
      <c r="I331" s="10"/>
    </row>
    <row r="332" spans="1:9">
      <c r="A332" s="76"/>
      <c r="B332" s="42" t="s">
        <v>354</v>
      </c>
      <c r="C332" s="44">
        <f>SUM(C14:C331)</f>
        <v>4131751.68</v>
      </c>
      <c r="D332" s="43">
        <f>SUM(D14:D331)</f>
        <v>4256.5</v>
      </c>
      <c r="E332" s="44">
        <f>SUM(E14:E331)</f>
        <v>4885903.830000001</v>
      </c>
      <c r="F332" s="10"/>
      <c r="G332" s="10"/>
      <c r="H332" s="10"/>
      <c r="I332" s="10"/>
    </row>
    <row r="333" spans="1:9">
      <c r="A333" s="76"/>
      <c r="C333" s="10"/>
      <c r="D333" s="11"/>
      <c r="E333" s="10"/>
      <c r="F333" s="10"/>
      <c r="G333" s="10"/>
      <c r="H333" s="10"/>
      <c r="I333" s="10"/>
    </row>
    <row r="334" spans="1:9">
      <c r="A334" s="35"/>
      <c r="C334" s="10"/>
      <c r="D334" s="11"/>
      <c r="E334" s="10"/>
      <c r="G334" s="10"/>
      <c r="H334" s="11"/>
      <c r="I334" s="10"/>
    </row>
    <row r="335" spans="1:9">
      <c r="A335" s="35"/>
      <c r="C335" s="10"/>
      <c r="D335" s="11"/>
      <c r="E335" s="10"/>
      <c r="G335" s="10"/>
      <c r="H335" s="11"/>
      <c r="I335" s="10"/>
    </row>
    <row r="336" spans="1:9">
      <c r="A336" s="35"/>
      <c r="B336" s="36"/>
      <c r="C336" s="10"/>
      <c r="D336" s="11"/>
      <c r="E336" s="10"/>
      <c r="G336" s="10"/>
      <c r="H336" s="11"/>
      <c r="I336" s="10"/>
    </row>
    <row r="337" spans="1:9">
      <c r="A337" s="35"/>
      <c r="C337" s="10"/>
      <c r="D337" s="11"/>
      <c r="E337" s="10"/>
      <c r="G337" s="10"/>
      <c r="H337" s="11"/>
      <c r="I337" s="10"/>
    </row>
    <row r="338" spans="1:9">
      <c r="A338" s="35"/>
      <c r="C338" s="10"/>
      <c r="D338" s="11"/>
      <c r="E338" s="10"/>
      <c r="G338" s="10"/>
      <c r="H338" s="11"/>
      <c r="I338" s="10"/>
    </row>
    <row r="339" spans="1:9">
      <c r="A339" s="35"/>
      <c r="C339" s="10"/>
      <c r="D339" s="11"/>
      <c r="E339" s="10"/>
      <c r="G339" s="10"/>
      <c r="H339" s="11"/>
      <c r="I339" s="10"/>
    </row>
    <row r="340" spans="1:9">
      <c r="A340" s="35"/>
      <c r="C340" s="10"/>
      <c r="D340" s="11"/>
      <c r="E340" s="10"/>
      <c r="G340" s="10"/>
      <c r="H340" s="11"/>
      <c r="I340" s="10"/>
    </row>
    <row r="341" spans="1:9">
      <c r="A341" s="35"/>
      <c r="C341" s="10"/>
      <c r="D341" s="11"/>
      <c r="E341" s="10"/>
      <c r="G341" s="10"/>
      <c r="H341" s="11"/>
      <c r="I341" s="10"/>
    </row>
    <row r="342" spans="1:9">
      <c r="A342" s="35"/>
      <c r="C342" s="10"/>
      <c r="D342" s="11"/>
      <c r="E342" s="10"/>
      <c r="G342" s="10"/>
      <c r="H342" s="11"/>
      <c r="I342" s="10"/>
    </row>
    <row r="343" spans="1:9">
      <c r="A343" s="35"/>
      <c r="C343" s="10"/>
      <c r="D343" s="11"/>
      <c r="E343" s="10"/>
      <c r="G343" s="10"/>
      <c r="H343" s="11"/>
      <c r="I343" s="10"/>
    </row>
    <row r="344" spans="1:9">
      <c r="A344" s="35"/>
      <c r="C344" s="10"/>
      <c r="D344" s="11"/>
      <c r="E344" s="10"/>
      <c r="G344" s="10"/>
      <c r="H344" s="11"/>
      <c r="I344" s="10"/>
    </row>
    <row r="345" spans="1:9">
      <c r="A345" s="35"/>
      <c r="C345" s="10"/>
      <c r="D345" s="11"/>
      <c r="E345" s="10"/>
      <c r="G345" s="10"/>
      <c r="H345" s="11"/>
      <c r="I345" s="10"/>
    </row>
    <row r="346" spans="1:9">
      <c r="A346" s="35"/>
      <c r="C346" s="10"/>
      <c r="D346" s="11"/>
      <c r="E346" s="10"/>
      <c r="F346" s="10"/>
      <c r="G346" s="11"/>
      <c r="H346" s="10"/>
      <c r="I346" s="10"/>
    </row>
    <row r="347" spans="1:9">
      <c r="A347" s="35"/>
      <c r="C347" s="10"/>
      <c r="D347" s="11"/>
      <c r="E347" s="10"/>
      <c r="G347" s="10"/>
      <c r="H347" s="10"/>
      <c r="I347" s="10"/>
    </row>
    <row r="348" spans="1:9">
      <c r="A348" s="35"/>
      <c r="C348" s="10"/>
      <c r="D348" s="11"/>
      <c r="E348" s="10"/>
      <c r="G348" s="10"/>
      <c r="H348" s="10"/>
      <c r="I348" s="10"/>
    </row>
    <row r="349" spans="1:9">
      <c r="A349" s="35"/>
      <c r="C349" s="10"/>
      <c r="D349" s="11"/>
      <c r="E349" s="10"/>
      <c r="G349" s="10"/>
      <c r="H349" s="10"/>
      <c r="I349" s="10"/>
    </row>
    <row r="350" spans="1:9">
      <c r="A350" s="35"/>
      <c r="C350" s="10"/>
      <c r="D350" s="11"/>
      <c r="E350" s="10"/>
      <c r="G350" s="10"/>
      <c r="H350" s="10"/>
      <c r="I350" s="10"/>
    </row>
    <row r="351" spans="1:9">
      <c r="A351" s="35"/>
      <c r="C351" s="10"/>
      <c r="D351" s="11"/>
      <c r="E351" s="10"/>
      <c r="G351" s="10"/>
      <c r="H351" s="10"/>
      <c r="I351" s="10"/>
    </row>
    <row r="352" spans="1:9">
      <c r="A352" s="35"/>
      <c r="C352" s="10"/>
      <c r="D352" s="11"/>
      <c r="E352" s="10"/>
      <c r="G352" s="10"/>
      <c r="H352" s="10"/>
      <c r="I352" s="10"/>
    </row>
    <row r="353" spans="1:9">
      <c r="A353" s="35"/>
      <c r="C353" s="10"/>
      <c r="D353" s="11"/>
      <c r="E353" s="10"/>
      <c r="G353" s="10"/>
      <c r="H353" s="10"/>
      <c r="I353" s="10"/>
    </row>
    <row r="354" spans="1:9">
      <c r="A354" s="35"/>
      <c r="C354" s="10"/>
      <c r="D354" s="11"/>
      <c r="E354" s="10"/>
      <c r="G354" s="10"/>
      <c r="H354" s="10"/>
      <c r="I354" s="10"/>
    </row>
    <row r="355" spans="1:9">
      <c r="A355" s="35"/>
      <c r="C355" s="10"/>
      <c r="D355" s="11"/>
      <c r="E355" s="10"/>
      <c r="G355" s="10"/>
      <c r="H355" s="10"/>
      <c r="I355" s="10"/>
    </row>
    <row r="356" spans="1:9">
      <c r="A356" s="35"/>
      <c r="C356" s="10"/>
      <c r="D356" s="11"/>
      <c r="E356" s="10"/>
      <c r="G356" s="10"/>
      <c r="H356" s="10"/>
      <c r="I356" s="10"/>
    </row>
    <row r="357" spans="1:9">
      <c r="A357" s="35"/>
      <c r="C357" s="10"/>
      <c r="D357" s="11"/>
      <c r="E357" s="10"/>
      <c r="G357" s="10"/>
      <c r="H357" s="10"/>
      <c r="I357" s="10"/>
    </row>
    <row r="358" spans="1:9">
      <c r="A358" s="35"/>
      <c r="C358" s="10"/>
      <c r="D358" s="11"/>
      <c r="E358" s="10"/>
      <c r="G358" s="10"/>
      <c r="H358" s="10"/>
      <c r="I358" s="10"/>
    </row>
    <row r="359" spans="1:9">
      <c r="A359" s="35"/>
      <c r="B359" s="37"/>
      <c r="C359" s="10"/>
      <c r="D359" s="11"/>
      <c r="E359" s="10"/>
      <c r="I359" s="10"/>
    </row>
    <row r="360" spans="1:9">
      <c r="A360" s="35"/>
      <c r="C360" s="10"/>
      <c r="D360" s="11"/>
      <c r="E360" s="10"/>
      <c r="I360" s="10"/>
    </row>
    <row r="361" spans="1:9">
      <c r="A361" s="35"/>
      <c r="C361" s="10"/>
      <c r="D361" s="11"/>
      <c r="E361" s="10"/>
      <c r="I361" s="10"/>
    </row>
    <row r="362" spans="1:9">
      <c r="A362" s="35"/>
      <c r="C362" s="10"/>
      <c r="D362" s="11"/>
      <c r="E362" s="10"/>
      <c r="I362" s="10"/>
    </row>
    <row r="363" spans="1:9">
      <c r="A363" s="35"/>
      <c r="C363" s="10"/>
      <c r="D363" s="11"/>
      <c r="E363" s="10"/>
      <c r="I363" s="10"/>
    </row>
    <row r="364" spans="1:9">
      <c r="A364" s="35"/>
      <c r="C364" s="10"/>
      <c r="D364" s="11"/>
      <c r="E364" s="10"/>
      <c r="I364" s="10"/>
    </row>
    <row r="365" spans="1:9">
      <c r="A365" s="35"/>
      <c r="C365" s="10"/>
      <c r="D365" s="11"/>
      <c r="E365" s="10"/>
      <c r="I365" s="10"/>
    </row>
    <row r="366" spans="1:9">
      <c r="A366" s="35"/>
      <c r="C366" s="10"/>
      <c r="D366" s="11"/>
      <c r="E366" s="10"/>
      <c r="I366" s="10"/>
    </row>
    <row r="367" spans="1:9">
      <c r="A367" s="35"/>
      <c r="C367" s="10"/>
      <c r="D367" s="11"/>
      <c r="E367" s="10"/>
      <c r="I367" s="10"/>
    </row>
    <row r="368" spans="1:9">
      <c r="A368" s="35"/>
      <c r="C368" s="10"/>
      <c r="D368" s="11"/>
      <c r="E368" s="10"/>
      <c r="I368" s="10"/>
    </row>
    <row r="369" spans="1:9">
      <c r="A369" s="35"/>
      <c r="C369" s="10"/>
      <c r="D369" s="11"/>
      <c r="E369" s="10"/>
      <c r="I369" s="10"/>
    </row>
    <row r="370" spans="1:9">
      <c r="A370" s="35"/>
      <c r="C370" s="10"/>
      <c r="D370" s="11"/>
      <c r="E370" s="10"/>
      <c r="I370" s="10"/>
    </row>
    <row r="371" spans="1:9">
      <c r="A371" s="35"/>
      <c r="C371" s="10"/>
      <c r="D371" s="11"/>
      <c r="E371" s="10"/>
      <c r="I371" s="10"/>
    </row>
    <row r="372" spans="1:9">
      <c r="A372" s="35"/>
      <c r="C372" s="10"/>
      <c r="D372" s="11"/>
      <c r="E372" s="10"/>
      <c r="I372" s="10"/>
    </row>
    <row r="373" spans="1:9">
      <c r="A373" s="35"/>
      <c r="C373" s="10"/>
      <c r="D373" s="11"/>
      <c r="E373" s="10"/>
      <c r="I373" s="10"/>
    </row>
    <row r="374" spans="1:9">
      <c r="A374" s="35"/>
      <c r="C374" s="10"/>
      <c r="D374" s="11"/>
      <c r="E374" s="10"/>
      <c r="I374" s="10"/>
    </row>
    <row r="375" spans="1:9">
      <c r="A375" s="35"/>
      <c r="C375" s="10"/>
      <c r="D375" s="11"/>
      <c r="E375" s="10"/>
      <c r="I375" s="10"/>
    </row>
    <row r="376" spans="1:9">
      <c r="A376" s="35"/>
      <c r="C376" s="10"/>
      <c r="D376" s="11"/>
      <c r="E376" s="10"/>
      <c r="I376" s="10"/>
    </row>
    <row r="377" spans="1:9">
      <c r="A377" s="35"/>
      <c r="C377" s="10"/>
      <c r="D377" s="11"/>
      <c r="E377" s="10"/>
      <c r="I377" s="10"/>
    </row>
    <row r="378" spans="1:9">
      <c r="A378" s="35"/>
      <c r="B378" s="36"/>
      <c r="C378" s="10"/>
      <c r="D378" s="11"/>
      <c r="E378" s="10"/>
      <c r="I378" s="10"/>
    </row>
    <row r="379" spans="1:9">
      <c r="A379" s="35"/>
      <c r="C379" s="10"/>
      <c r="D379" s="11"/>
      <c r="E379" s="10"/>
      <c r="I379" s="10"/>
    </row>
    <row r="380" spans="1:9">
      <c r="A380" s="35"/>
      <c r="C380" s="10"/>
      <c r="D380" s="11"/>
      <c r="E380" s="10"/>
      <c r="I380" s="10"/>
    </row>
    <row r="381" spans="1:9">
      <c r="A381" s="35"/>
      <c r="C381" s="10"/>
      <c r="D381" s="11"/>
      <c r="E381" s="10"/>
      <c r="I381" s="10"/>
    </row>
    <row r="382" spans="1:9">
      <c r="A382" s="35"/>
      <c r="C382" s="10"/>
      <c r="D382" s="11"/>
      <c r="E382" s="10"/>
      <c r="I382" s="10"/>
    </row>
    <row r="383" spans="1:9">
      <c r="A383" s="35"/>
      <c r="C383" s="10"/>
      <c r="D383" s="11"/>
      <c r="E383" s="10"/>
      <c r="G383" s="10"/>
      <c r="I383" s="10"/>
    </row>
    <row r="384" spans="1:9">
      <c r="A384" s="35"/>
      <c r="C384" s="10"/>
      <c r="D384" s="11"/>
      <c r="E384" s="10"/>
      <c r="G384" s="10"/>
      <c r="I384" s="10"/>
    </row>
    <row r="385" spans="1:9">
      <c r="A385" s="35"/>
      <c r="C385" s="10"/>
      <c r="D385" s="11"/>
      <c r="E385" s="10"/>
      <c r="G385" s="10"/>
      <c r="I385" s="10"/>
    </row>
    <row r="386" spans="1:9">
      <c r="A386" s="35"/>
      <c r="C386" s="10"/>
      <c r="D386" s="11"/>
      <c r="E386" s="10"/>
      <c r="G386" s="10"/>
      <c r="I386" s="10"/>
    </row>
    <row r="387" spans="1:9">
      <c r="A387" s="35"/>
      <c r="C387" s="10"/>
      <c r="D387" s="11"/>
      <c r="E387" s="10"/>
      <c r="G387" s="10"/>
      <c r="I387" s="10"/>
    </row>
    <row r="388" spans="1:9">
      <c r="A388" s="35"/>
      <c r="C388" s="10"/>
      <c r="D388" s="11"/>
      <c r="E388" s="10"/>
      <c r="G388" s="10"/>
      <c r="I388" s="10"/>
    </row>
    <row r="389" spans="1:9">
      <c r="A389" s="35"/>
      <c r="C389" s="10"/>
      <c r="D389" s="11"/>
      <c r="E389" s="10"/>
      <c r="G389" s="10"/>
      <c r="I389" s="10"/>
    </row>
    <row r="390" spans="1:9">
      <c r="A390" s="35"/>
      <c r="C390" s="10"/>
      <c r="D390" s="11"/>
      <c r="E390" s="10"/>
      <c r="G390" s="10"/>
      <c r="I390" s="10"/>
    </row>
    <row r="391" spans="1:9">
      <c r="A391" s="35"/>
      <c r="C391" s="10"/>
      <c r="D391" s="11"/>
      <c r="E391" s="10"/>
      <c r="G391" s="10"/>
      <c r="I391" s="10"/>
    </row>
    <row r="392" spans="1:9">
      <c r="A392" s="35"/>
      <c r="C392" s="10"/>
      <c r="D392" s="11"/>
      <c r="E392" s="10"/>
      <c r="G392" s="10"/>
      <c r="I392" s="10"/>
    </row>
    <row r="393" spans="1:9">
      <c r="A393" s="35"/>
      <c r="C393" s="10"/>
      <c r="D393" s="11"/>
      <c r="E393" s="10"/>
      <c r="G393" s="10"/>
      <c r="I393" s="10"/>
    </row>
    <row r="394" spans="1:9">
      <c r="A394" s="35"/>
      <c r="C394" s="10"/>
      <c r="D394" s="11"/>
      <c r="E394" s="10"/>
      <c r="G394" s="10"/>
      <c r="I394" s="10"/>
    </row>
    <row r="395" spans="1:9">
      <c r="A395" s="35"/>
      <c r="C395" s="10"/>
      <c r="D395" s="11"/>
      <c r="E395" s="10"/>
      <c r="G395" s="10"/>
      <c r="I395" s="10"/>
    </row>
    <row r="396" spans="1:9">
      <c r="A396" s="35"/>
      <c r="C396" s="10"/>
      <c r="D396" s="11"/>
      <c r="E396" s="10"/>
      <c r="G396" s="10"/>
      <c r="I396" s="10"/>
    </row>
    <row r="397" spans="1:9">
      <c r="A397" s="35"/>
      <c r="C397" s="10"/>
      <c r="D397" s="11"/>
      <c r="E397" s="10"/>
      <c r="G397" s="10"/>
      <c r="I397" s="10"/>
    </row>
    <row r="398" spans="1:9">
      <c r="A398" s="35"/>
      <c r="C398" s="10"/>
      <c r="D398" s="11"/>
      <c r="E398" s="10"/>
      <c r="G398" s="10"/>
      <c r="I398" s="10"/>
    </row>
    <row r="399" spans="1:9">
      <c r="A399" s="35"/>
      <c r="C399" s="10"/>
      <c r="D399" s="11"/>
      <c r="E399" s="10"/>
      <c r="G399" s="10"/>
      <c r="I399" s="10"/>
    </row>
    <row r="400" spans="1:9">
      <c r="A400" s="35"/>
      <c r="C400" s="10"/>
      <c r="D400" s="11"/>
      <c r="E400" s="10"/>
      <c r="G400" s="10"/>
      <c r="I400" s="10"/>
    </row>
    <row r="401" spans="1:9">
      <c r="A401" s="35"/>
      <c r="C401" s="10"/>
      <c r="D401" s="11"/>
      <c r="E401" s="10"/>
      <c r="G401" s="10"/>
      <c r="I401" s="10"/>
    </row>
    <row r="402" spans="1:9">
      <c r="A402" s="35"/>
      <c r="C402" s="10"/>
      <c r="D402" s="11"/>
      <c r="E402" s="10"/>
      <c r="G402" s="10"/>
      <c r="I402" s="10"/>
    </row>
    <row r="403" spans="1:9">
      <c r="A403" s="35"/>
      <c r="C403" s="10"/>
      <c r="D403" s="11"/>
      <c r="E403" s="10"/>
      <c r="G403" s="10"/>
      <c r="I403" s="10"/>
    </row>
    <row r="404" spans="1:9">
      <c r="A404" s="35"/>
      <c r="C404" s="10"/>
      <c r="D404" s="11"/>
      <c r="E404" s="10"/>
      <c r="G404" s="10"/>
      <c r="I404" s="10"/>
    </row>
    <row r="405" spans="1:9">
      <c r="A405" s="35"/>
      <c r="C405" s="10"/>
      <c r="D405" s="11"/>
      <c r="E405" s="10"/>
      <c r="G405" s="10"/>
      <c r="I405" s="10"/>
    </row>
    <row r="406" spans="1:9">
      <c r="A406" s="35"/>
      <c r="C406" s="10"/>
      <c r="D406" s="11"/>
      <c r="E406" s="10"/>
      <c r="G406" s="10"/>
      <c r="I406" s="10"/>
    </row>
    <row r="407" spans="1:9">
      <c r="A407" s="35"/>
      <c r="C407" s="10"/>
      <c r="D407" s="11"/>
      <c r="E407" s="10"/>
      <c r="G407" s="10"/>
      <c r="I407" s="10"/>
    </row>
    <row r="408" spans="1:9">
      <c r="A408" s="35"/>
      <c r="C408" s="10"/>
      <c r="D408" s="11"/>
      <c r="E408" s="10"/>
      <c r="G408" s="10"/>
      <c r="I408" s="10"/>
    </row>
    <row r="409" spans="1:9">
      <c r="A409" s="35"/>
      <c r="B409" s="38"/>
      <c r="C409" s="10"/>
      <c r="D409" s="11"/>
      <c r="E409" s="10"/>
      <c r="G409" s="10"/>
      <c r="I409" s="10"/>
    </row>
    <row r="410" spans="1:9">
      <c r="A410" s="35"/>
      <c r="C410" s="10"/>
      <c r="D410" s="11"/>
      <c r="E410" s="10"/>
      <c r="G410" s="10"/>
      <c r="I410" s="10"/>
    </row>
    <row r="411" spans="1:9">
      <c r="A411" s="35"/>
      <c r="C411" s="10"/>
      <c r="D411" s="11"/>
      <c r="E411" s="10"/>
      <c r="G411" s="10"/>
      <c r="I411" s="10"/>
    </row>
    <row r="412" spans="1:9">
      <c r="A412" s="35"/>
      <c r="C412" s="10"/>
      <c r="D412" s="11"/>
      <c r="E412" s="10"/>
      <c r="G412" s="10"/>
      <c r="I412" s="10"/>
    </row>
    <row r="413" spans="1:9">
      <c r="A413" s="35"/>
      <c r="C413" s="10"/>
      <c r="D413" s="11"/>
      <c r="E413" s="10"/>
      <c r="G413" s="10"/>
      <c r="I413" s="10"/>
    </row>
    <row r="414" spans="1:9">
      <c r="A414" s="35"/>
      <c r="C414" s="10"/>
      <c r="D414" s="11"/>
      <c r="E414" s="10"/>
      <c r="G414" s="10"/>
      <c r="I414" s="10"/>
    </row>
    <row r="415" spans="1:9">
      <c r="A415" s="35"/>
      <c r="C415" s="10"/>
      <c r="D415" s="11"/>
      <c r="E415" s="10"/>
      <c r="G415" s="10"/>
      <c r="I415" s="10"/>
    </row>
    <row r="416" spans="1:9">
      <c r="A416" s="35"/>
      <c r="C416" s="10"/>
      <c r="D416" s="11"/>
      <c r="E416" s="10"/>
      <c r="G416" s="10"/>
      <c r="I416" s="10"/>
    </row>
    <row r="417" spans="1:9">
      <c r="A417" s="35"/>
      <c r="C417" s="10"/>
      <c r="D417" s="11"/>
      <c r="E417" s="10"/>
      <c r="G417" s="10"/>
      <c r="I417" s="10"/>
    </row>
    <row r="418" spans="1:9">
      <c r="A418" s="35"/>
      <c r="C418" s="10"/>
      <c r="D418" s="11"/>
      <c r="E418" s="10"/>
      <c r="G418" s="10"/>
      <c r="I418" s="10"/>
    </row>
    <row r="419" spans="1:9">
      <c r="A419" s="35"/>
      <c r="C419" s="10"/>
      <c r="D419" s="11"/>
      <c r="E419" s="10"/>
      <c r="G419" s="10"/>
      <c r="I419" s="10"/>
    </row>
    <row r="420" spans="1:9">
      <c r="A420" s="35"/>
      <c r="C420" s="10"/>
      <c r="D420" s="11"/>
      <c r="E420" s="10"/>
      <c r="G420" s="10"/>
      <c r="I420" s="10"/>
    </row>
    <row r="421" spans="1:9">
      <c r="A421" s="35"/>
      <c r="C421" s="10"/>
      <c r="D421" s="11"/>
      <c r="E421" s="10"/>
      <c r="G421" s="10"/>
      <c r="I421" s="10"/>
    </row>
    <row r="422" spans="1:9">
      <c r="A422" s="35"/>
      <c r="C422" s="10"/>
      <c r="D422" s="11"/>
      <c r="E422" s="10"/>
      <c r="G422" s="10"/>
      <c r="I422" s="10"/>
    </row>
    <row r="423" spans="1:9">
      <c r="A423" s="35"/>
      <c r="C423" s="10"/>
      <c r="D423" s="11"/>
      <c r="E423" s="10"/>
      <c r="G423" s="10"/>
      <c r="I423" s="10"/>
    </row>
    <row r="424" spans="1:9">
      <c r="A424" s="35"/>
      <c r="C424" s="10"/>
      <c r="D424" s="11"/>
      <c r="E424" s="10"/>
      <c r="G424" s="10"/>
      <c r="I424" s="10"/>
    </row>
    <row r="425" spans="1:9">
      <c r="A425" s="35"/>
      <c r="C425" s="10"/>
      <c r="D425" s="11"/>
      <c r="E425" s="10"/>
      <c r="G425" s="10"/>
      <c r="I425" s="10"/>
    </row>
    <row r="426" spans="1:9">
      <c r="A426" s="35"/>
      <c r="C426" s="10"/>
      <c r="D426" s="11"/>
      <c r="E426" s="10"/>
      <c r="G426" s="10"/>
      <c r="I426" s="10"/>
    </row>
    <row r="427" spans="1:9">
      <c r="A427" s="35"/>
      <c r="C427" s="10"/>
      <c r="D427" s="11"/>
      <c r="E427" s="10"/>
      <c r="G427" s="10"/>
      <c r="I427" s="10"/>
    </row>
    <row r="428" spans="1:9">
      <c r="A428" s="35"/>
      <c r="C428" s="10"/>
      <c r="D428" s="11"/>
      <c r="E428" s="10"/>
      <c r="G428" s="10"/>
      <c r="I428" s="10"/>
    </row>
    <row r="429" spans="1:9">
      <c r="A429" s="35"/>
      <c r="C429" s="10"/>
      <c r="D429" s="11"/>
      <c r="E429" s="10"/>
      <c r="G429" s="10"/>
      <c r="I429" s="10"/>
    </row>
    <row r="430" spans="1:9">
      <c r="A430" s="35"/>
      <c r="C430" s="10"/>
      <c r="D430" s="11"/>
      <c r="E430" s="10"/>
      <c r="G430" s="10"/>
      <c r="I430" s="10"/>
    </row>
    <row r="431" spans="1:9">
      <c r="A431" s="35"/>
      <c r="C431" s="10"/>
      <c r="D431" s="11"/>
      <c r="E431" s="10"/>
      <c r="G431" s="10"/>
      <c r="I431" s="10"/>
    </row>
    <row r="432" spans="1:9">
      <c r="A432" s="35"/>
      <c r="C432" s="10"/>
      <c r="D432" s="11"/>
      <c r="E432" s="10"/>
      <c r="G432" s="10"/>
      <c r="I432" s="10"/>
    </row>
    <row r="433" spans="1:9">
      <c r="A433" s="35"/>
      <c r="B433" s="38"/>
      <c r="C433" s="10"/>
      <c r="D433" s="11"/>
      <c r="E433" s="10"/>
      <c r="G433" s="10"/>
      <c r="I433" s="10"/>
    </row>
    <row r="434" spans="1:9">
      <c r="A434" s="35"/>
      <c r="C434" s="10"/>
      <c r="D434" s="11"/>
      <c r="E434" s="10"/>
      <c r="G434" s="10"/>
      <c r="I434" s="10"/>
    </row>
    <row r="435" spans="1:9">
      <c r="A435" s="35"/>
      <c r="C435" s="10"/>
      <c r="D435" s="11"/>
      <c r="E435" s="10"/>
      <c r="G435" s="10"/>
      <c r="I435" s="10"/>
    </row>
    <row r="436" spans="1:9">
      <c r="A436" s="35"/>
      <c r="C436" s="10"/>
      <c r="D436" s="11"/>
      <c r="E436" s="10"/>
      <c r="G436" s="10"/>
      <c r="I436" s="10"/>
    </row>
    <row r="437" spans="1:9">
      <c r="A437" s="35"/>
      <c r="C437" s="10"/>
      <c r="D437" s="11"/>
      <c r="E437" s="10"/>
      <c r="G437" s="10"/>
      <c r="I437" s="10"/>
    </row>
    <row r="438" spans="1:9">
      <c r="A438" s="35"/>
      <c r="C438" s="10"/>
      <c r="D438" s="11"/>
      <c r="E438" s="10"/>
      <c r="G438" s="10"/>
      <c r="I438" s="10"/>
    </row>
    <row r="439" spans="1:9">
      <c r="A439" s="35"/>
      <c r="C439" s="10"/>
      <c r="D439" s="11"/>
      <c r="E439" s="10"/>
      <c r="G439" s="10"/>
      <c r="I439" s="10"/>
    </row>
    <row r="440" spans="1:9">
      <c r="A440" s="35"/>
      <c r="C440" s="10"/>
      <c r="D440" s="11"/>
      <c r="E440" s="10"/>
      <c r="G440" s="10"/>
      <c r="I440" s="10"/>
    </row>
    <row r="441" spans="1:9">
      <c r="A441" s="35"/>
      <c r="B441" s="36"/>
      <c r="C441" s="10"/>
      <c r="D441" s="11"/>
      <c r="E441" s="10"/>
      <c r="G441" s="10"/>
      <c r="I441" s="10"/>
    </row>
    <row r="442" spans="1:9">
      <c r="A442" s="35"/>
      <c r="C442" s="10"/>
      <c r="D442" s="11"/>
      <c r="E442" s="10"/>
      <c r="G442" s="10"/>
      <c r="I442" s="10"/>
    </row>
    <row r="443" spans="1:9">
      <c r="A443" s="35"/>
      <c r="C443" s="10"/>
      <c r="D443" s="11"/>
      <c r="E443" s="10"/>
      <c r="G443" s="10"/>
      <c r="I443" s="10"/>
    </row>
    <row r="444" spans="1:9">
      <c r="A444" s="35"/>
      <c r="C444" s="10"/>
      <c r="D444" s="11"/>
      <c r="E444" s="10"/>
      <c r="G444" s="10"/>
      <c r="I444" s="10"/>
    </row>
    <row r="445" spans="1:9">
      <c r="A445" s="35"/>
      <c r="C445" s="10"/>
      <c r="D445" s="11"/>
      <c r="E445" s="10"/>
      <c r="G445" s="10"/>
      <c r="I445" s="10"/>
    </row>
    <row r="446" spans="1:9">
      <c r="A446" s="35"/>
      <c r="C446" s="10"/>
      <c r="D446" s="11"/>
      <c r="E446" s="10"/>
      <c r="G446" s="10"/>
      <c r="I446" s="10"/>
    </row>
    <row r="447" spans="1:9">
      <c r="A447" s="35"/>
      <c r="C447" s="10"/>
      <c r="D447" s="11"/>
      <c r="E447" s="10"/>
      <c r="G447" s="10"/>
      <c r="I447" s="10"/>
    </row>
    <row r="448" spans="1:9">
      <c r="A448" s="35"/>
      <c r="C448" s="10"/>
      <c r="D448" s="11"/>
      <c r="E448" s="10"/>
      <c r="G448" s="10"/>
      <c r="I448" s="10"/>
    </row>
    <row r="449" spans="1:9">
      <c r="A449" s="35"/>
      <c r="C449" s="10"/>
      <c r="D449" s="11"/>
      <c r="E449" s="10"/>
      <c r="G449" s="10"/>
      <c r="I449" s="10"/>
    </row>
    <row r="450" spans="1:9">
      <c r="A450" s="35"/>
      <c r="C450" s="10"/>
      <c r="D450" s="11"/>
      <c r="E450" s="10"/>
      <c r="G450" s="10"/>
      <c r="I450" s="10"/>
    </row>
    <row r="451" spans="1:9">
      <c r="A451" s="35"/>
      <c r="C451" s="10"/>
      <c r="D451" s="11"/>
      <c r="E451" s="10"/>
      <c r="G451" s="10"/>
      <c r="I451" s="10"/>
    </row>
    <row r="452" spans="1:9">
      <c r="A452" s="35"/>
      <c r="B452" s="36"/>
      <c r="C452" s="10"/>
      <c r="D452" s="11"/>
      <c r="E452" s="10"/>
      <c r="G452" s="10"/>
      <c r="I452" s="10"/>
    </row>
    <row r="453" spans="1:9">
      <c r="A453" s="35"/>
      <c r="C453" s="10"/>
      <c r="D453" s="11"/>
      <c r="E453" s="10"/>
      <c r="G453" s="10"/>
      <c r="I453" s="10"/>
    </row>
    <row r="454" spans="1:9">
      <c r="A454" s="35"/>
      <c r="C454" s="10"/>
      <c r="D454" s="11"/>
      <c r="E454" s="10"/>
      <c r="G454" s="10"/>
      <c r="I454" s="10"/>
    </row>
    <row r="455" spans="1:9">
      <c r="A455" s="35"/>
      <c r="C455" s="10"/>
      <c r="D455" s="11"/>
      <c r="E455" s="10"/>
      <c r="G455" s="10"/>
      <c r="I455" s="10"/>
    </row>
    <row r="456" spans="1:9">
      <c r="A456" s="35"/>
      <c r="C456" s="10"/>
      <c r="D456" s="11"/>
      <c r="E456" s="10"/>
      <c r="G456" s="10"/>
      <c r="I456" s="10"/>
    </row>
    <row r="457" spans="1:9">
      <c r="A457" s="35"/>
      <c r="C457" s="10"/>
      <c r="D457" s="11"/>
      <c r="E457" s="10"/>
      <c r="G457" s="10"/>
      <c r="I457" s="10"/>
    </row>
    <row r="458" spans="1:9">
      <c r="A458" s="35"/>
      <c r="B458" s="38"/>
      <c r="C458" s="10"/>
      <c r="D458" s="11"/>
      <c r="E458" s="10"/>
      <c r="G458" s="10"/>
      <c r="I458" s="10"/>
    </row>
    <row r="459" spans="1:9">
      <c r="A459" s="35"/>
      <c r="C459" s="10"/>
      <c r="D459" s="11"/>
      <c r="E459" s="10"/>
      <c r="G459" s="10"/>
      <c r="I459" s="10"/>
    </row>
    <row r="460" spans="1:9">
      <c r="A460" s="35"/>
      <c r="C460" s="10"/>
      <c r="D460" s="11"/>
      <c r="E460" s="10"/>
      <c r="G460" s="10"/>
      <c r="I460" s="10"/>
    </row>
    <row r="461" spans="1:9">
      <c r="A461" s="35"/>
      <c r="C461" s="10"/>
      <c r="D461" s="11"/>
      <c r="E461" s="10"/>
      <c r="G461" s="10"/>
      <c r="I461" s="10"/>
    </row>
    <row r="462" spans="1:9">
      <c r="A462" s="35"/>
      <c r="C462" s="10"/>
      <c r="D462" s="11"/>
      <c r="E462" s="10"/>
      <c r="G462" s="10"/>
      <c r="I462" s="10"/>
    </row>
    <row r="463" spans="1:9">
      <c r="A463" s="35"/>
      <c r="C463" s="10"/>
      <c r="D463" s="11"/>
      <c r="E463" s="10"/>
      <c r="G463" s="10"/>
      <c r="I463" s="10"/>
    </row>
    <row r="464" spans="1:9">
      <c r="A464" s="35"/>
      <c r="C464" s="10"/>
      <c r="D464" s="11"/>
      <c r="E464" s="10"/>
      <c r="G464" s="10"/>
      <c r="I464" s="10"/>
    </row>
    <row r="465" spans="1:9">
      <c r="A465" s="35"/>
      <c r="C465" s="10"/>
      <c r="D465" s="11"/>
      <c r="E465" s="10"/>
      <c r="G465" s="10"/>
      <c r="I465" s="10"/>
    </row>
    <row r="466" spans="1:9">
      <c r="A466" s="35"/>
      <c r="C466" s="10"/>
      <c r="D466" s="11"/>
      <c r="E466" s="10"/>
      <c r="G466" s="10"/>
      <c r="I466" s="10"/>
    </row>
    <row r="467" spans="1:9">
      <c r="A467" s="35"/>
      <c r="C467" s="10"/>
      <c r="D467" s="11"/>
      <c r="E467" s="10"/>
      <c r="G467" s="10"/>
      <c r="I467" s="10"/>
    </row>
    <row r="468" spans="1:9">
      <c r="A468" s="35"/>
      <c r="C468" s="10"/>
      <c r="D468" s="11"/>
      <c r="E468" s="10"/>
      <c r="G468" s="10"/>
      <c r="I468" s="10"/>
    </row>
    <row r="469" spans="1:9">
      <c r="A469" s="35"/>
      <c r="C469" s="10"/>
      <c r="D469" s="11"/>
      <c r="E469" s="10"/>
      <c r="G469" s="10"/>
      <c r="I469" s="10"/>
    </row>
    <row r="470" spans="1:9">
      <c r="A470" s="35"/>
      <c r="C470" s="10"/>
      <c r="D470" s="11"/>
      <c r="E470" s="10"/>
      <c r="G470" s="10"/>
      <c r="I470" s="10"/>
    </row>
    <row r="471" spans="1:9">
      <c r="A471" s="35"/>
      <c r="C471" s="10"/>
      <c r="D471" s="11"/>
      <c r="E471" s="10"/>
      <c r="G471" s="10"/>
      <c r="I471" s="10"/>
    </row>
    <row r="472" spans="1:9">
      <c r="A472" s="35"/>
      <c r="C472" s="10"/>
      <c r="D472" s="11"/>
      <c r="E472" s="10"/>
      <c r="I472" s="10"/>
    </row>
    <row r="473" spans="1:9">
      <c r="A473" s="35"/>
      <c r="C473" s="10"/>
      <c r="D473" s="11"/>
      <c r="E473" s="10"/>
      <c r="I473" s="10"/>
    </row>
    <row r="474" spans="1:9">
      <c r="A474" s="35"/>
      <c r="C474" s="10"/>
      <c r="D474" s="11"/>
      <c r="E474" s="10"/>
      <c r="I474" s="10"/>
    </row>
    <row r="475" spans="1:9">
      <c r="A475" s="35"/>
      <c r="C475" s="10"/>
      <c r="D475" s="11"/>
      <c r="E475" s="10"/>
      <c r="I475" s="10"/>
    </row>
    <row r="476" spans="1:9">
      <c r="A476" s="35"/>
      <c r="C476" s="10"/>
      <c r="D476" s="11"/>
      <c r="E476" s="10"/>
      <c r="I476" s="10"/>
    </row>
    <row r="477" spans="1:9">
      <c r="A477" s="35"/>
      <c r="C477" s="10"/>
      <c r="D477" s="11"/>
      <c r="E477" s="10"/>
      <c r="I477" s="10"/>
    </row>
    <row r="478" spans="1:9">
      <c r="A478" s="35"/>
      <c r="C478" s="10"/>
      <c r="D478" s="11"/>
      <c r="E478" s="10"/>
      <c r="I478" s="10"/>
    </row>
    <row r="479" spans="1:9">
      <c r="A479" s="35"/>
      <c r="C479" s="10"/>
      <c r="D479" s="11"/>
      <c r="E479" s="10"/>
      <c r="I479" s="10"/>
    </row>
    <row r="480" spans="1:9">
      <c r="A480" s="35"/>
      <c r="C480" s="10"/>
      <c r="D480" s="11"/>
      <c r="E480" s="10"/>
      <c r="I480" s="10"/>
    </row>
    <row r="481" spans="1:9">
      <c r="A481" s="35"/>
      <c r="C481" s="10"/>
      <c r="D481" s="11"/>
      <c r="E481" s="10"/>
      <c r="I481" s="10"/>
    </row>
    <row r="482" spans="1:9">
      <c r="A482" s="35"/>
      <c r="C482" s="10"/>
      <c r="D482" s="11"/>
      <c r="E482" s="10"/>
      <c r="I482" s="10"/>
    </row>
    <row r="483" spans="1:9">
      <c r="A483" s="35"/>
      <c r="C483" s="10"/>
      <c r="D483" s="11"/>
      <c r="E483" s="10"/>
      <c r="I483" s="10"/>
    </row>
    <row r="484" spans="1:9">
      <c r="A484" s="35"/>
      <c r="C484" s="10"/>
      <c r="D484" s="11"/>
      <c r="E484" s="10"/>
      <c r="I484" s="10"/>
    </row>
    <row r="485" spans="1:9">
      <c r="A485" s="35"/>
      <c r="C485" s="10"/>
      <c r="D485" s="11"/>
      <c r="E485" s="10"/>
      <c r="I485" s="10"/>
    </row>
    <row r="486" spans="1:9">
      <c r="A486" s="35"/>
      <c r="C486" s="10"/>
      <c r="D486" s="11"/>
      <c r="E486" s="10"/>
      <c r="I486" s="10"/>
    </row>
    <row r="487" spans="1:9">
      <c r="A487" s="35"/>
      <c r="C487" s="10"/>
      <c r="D487" s="11"/>
      <c r="E487" s="10"/>
      <c r="I487" s="10"/>
    </row>
    <row r="488" spans="1:9">
      <c r="A488" s="35"/>
      <c r="C488" s="10"/>
      <c r="D488" s="11"/>
      <c r="E488" s="10"/>
      <c r="I488" s="10"/>
    </row>
    <row r="489" spans="1:9">
      <c r="A489" s="35"/>
      <c r="C489" s="10"/>
      <c r="D489" s="11"/>
      <c r="E489" s="10"/>
      <c r="I489" s="10"/>
    </row>
    <row r="490" spans="1:9">
      <c r="A490" s="35"/>
      <c r="C490" s="10"/>
      <c r="D490" s="11"/>
      <c r="E490" s="10"/>
      <c r="I490" s="10"/>
    </row>
    <row r="491" spans="1:9">
      <c r="A491" s="35"/>
      <c r="C491" s="10"/>
      <c r="D491" s="11"/>
      <c r="E491" s="10"/>
      <c r="I491" s="10"/>
    </row>
    <row r="492" spans="1:9">
      <c r="A492" s="35"/>
      <c r="C492" s="10"/>
      <c r="D492" s="11"/>
      <c r="E492" s="10"/>
      <c r="I492" s="10"/>
    </row>
    <row r="493" spans="1:9">
      <c r="A493" s="35"/>
      <c r="C493" s="10"/>
      <c r="D493" s="11"/>
      <c r="E493" s="10"/>
      <c r="I493" s="10"/>
    </row>
    <row r="494" spans="1:9">
      <c r="A494" s="35"/>
      <c r="C494" s="10"/>
      <c r="D494" s="11"/>
      <c r="E494" s="10"/>
      <c r="I494" s="10"/>
    </row>
    <row r="495" spans="1:9">
      <c r="A495" s="35"/>
      <c r="C495" s="10"/>
      <c r="D495" s="11"/>
      <c r="E495" s="10"/>
      <c r="I495" s="10"/>
    </row>
    <row r="496" spans="1:9">
      <c r="A496" s="35"/>
      <c r="C496" s="10"/>
      <c r="D496" s="11"/>
      <c r="E496" s="10"/>
      <c r="I496" s="10"/>
    </row>
    <row r="497" spans="1:9">
      <c r="A497" s="35"/>
      <c r="C497" s="10"/>
      <c r="D497" s="11"/>
      <c r="E497" s="10"/>
      <c r="I497" s="10"/>
    </row>
    <row r="498" spans="1:9">
      <c r="A498" s="35"/>
      <c r="C498" s="10"/>
      <c r="D498" s="11"/>
      <c r="E498" s="10"/>
      <c r="I498" s="10"/>
    </row>
    <row r="499" spans="1:9">
      <c r="A499" s="35"/>
      <c r="C499" s="10"/>
      <c r="D499" s="11"/>
      <c r="E499" s="10"/>
      <c r="I499" s="10"/>
    </row>
    <row r="500" spans="1:9">
      <c r="A500" s="35"/>
      <c r="C500" s="10"/>
      <c r="D500" s="11"/>
      <c r="E500" s="10"/>
      <c r="I500" s="10"/>
    </row>
    <row r="501" spans="1:9">
      <c r="A501" s="35"/>
      <c r="C501" s="10"/>
      <c r="D501" s="11"/>
      <c r="E501" s="10"/>
      <c r="G501" s="10"/>
      <c r="H501" s="11"/>
      <c r="I501" s="10"/>
    </row>
    <row r="502" spans="1:9">
      <c r="A502" s="35"/>
      <c r="C502" s="10"/>
      <c r="D502" s="11"/>
      <c r="E502" s="10"/>
      <c r="G502" s="10"/>
      <c r="H502" s="11"/>
      <c r="I502" s="10"/>
    </row>
    <row r="503" spans="1:9">
      <c r="A503" s="35"/>
      <c r="C503" s="10"/>
      <c r="D503" s="11"/>
      <c r="E503" s="10"/>
      <c r="G503" s="10"/>
      <c r="H503" s="11"/>
      <c r="I503" s="10"/>
    </row>
    <row r="504" spans="1:9">
      <c r="A504" s="35"/>
      <c r="C504" s="10"/>
      <c r="D504" s="11"/>
      <c r="E504" s="10"/>
      <c r="G504" s="10"/>
      <c r="H504" s="11"/>
      <c r="I504" s="10"/>
    </row>
    <row r="505" spans="1:9">
      <c r="A505" s="35"/>
      <c r="C505" s="10"/>
      <c r="D505" s="11"/>
      <c r="E505" s="10"/>
      <c r="G505" s="10"/>
      <c r="H505" s="11"/>
      <c r="I505" s="10"/>
    </row>
    <row r="506" spans="1:9">
      <c r="A506" s="35"/>
      <c r="C506" s="10"/>
      <c r="D506" s="11"/>
      <c r="E506" s="10"/>
      <c r="G506" s="10"/>
      <c r="H506" s="11"/>
      <c r="I506" s="10"/>
    </row>
    <row r="507" spans="1:9">
      <c r="A507" s="35"/>
      <c r="C507" s="10"/>
      <c r="D507" s="11"/>
      <c r="E507" s="10"/>
      <c r="G507" s="10"/>
      <c r="H507" s="11"/>
      <c r="I507" s="10"/>
    </row>
    <row r="508" spans="1:9">
      <c r="A508" s="35"/>
      <c r="C508" s="10"/>
      <c r="D508" s="11"/>
      <c r="E508" s="10"/>
      <c r="H508" s="12"/>
      <c r="I508" s="13"/>
    </row>
    <row r="509" spans="1:9">
      <c r="A509" s="35"/>
      <c r="C509" s="10"/>
      <c r="D509" s="11"/>
      <c r="E509" s="10"/>
      <c r="H509" s="12"/>
      <c r="I509" s="13"/>
    </row>
    <row r="510" spans="1:9">
      <c r="A510" s="35"/>
      <c r="C510" s="10"/>
      <c r="D510" s="11"/>
      <c r="E510" s="10"/>
      <c r="H510" s="12"/>
      <c r="I510" s="13"/>
    </row>
    <row r="511" spans="1:9">
      <c r="A511" s="35"/>
      <c r="C511" s="10"/>
      <c r="D511" s="11"/>
      <c r="E511" s="10"/>
      <c r="H511" s="12"/>
      <c r="I511" s="13"/>
    </row>
    <row r="512" spans="1:9">
      <c r="A512" s="35"/>
      <c r="C512" s="10"/>
      <c r="D512" s="11"/>
      <c r="E512" s="10"/>
      <c r="H512" s="12"/>
      <c r="I512" s="13"/>
    </row>
    <row r="513" spans="1:9">
      <c r="A513" s="35"/>
      <c r="C513" s="10"/>
      <c r="D513" s="11"/>
      <c r="E513" s="10"/>
      <c r="H513" s="12"/>
      <c r="I513" s="13"/>
    </row>
    <row r="514" spans="1:9">
      <c r="A514" s="35"/>
      <c r="C514" s="10"/>
      <c r="D514" s="11"/>
      <c r="E514" s="10"/>
      <c r="H514" s="12"/>
      <c r="I514" s="13"/>
    </row>
    <row r="515" spans="1:9">
      <c r="A515" s="35"/>
      <c r="C515" s="10"/>
      <c r="D515" s="11"/>
      <c r="E515" s="10"/>
      <c r="H515" s="12"/>
      <c r="I515" s="13"/>
    </row>
    <row r="516" spans="1:9">
      <c r="A516" s="35"/>
      <c r="C516" s="10"/>
      <c r="D516" s="11"/>
      <c r="E516" s="10"/>
      <c r="H516" s="12"/>
      <c r="I516" s="13"/>
    </row>
    <row r="517" spans="1:9">
      <c r="A517" s="35"/>
      <c r="C517" s="10"/>
      <c r="D517" s="11"/>
      <c r="E517" s="10"/>
      <c r="H517" s="12"/>
      <c r="I517" s="13"/>
    </row>
    <row r="518" spans="1:9">
      <c r="A518" s="35"/>
      <c r="C518" s="10"/>
      <c r="D518" s="11"/>
      <c r="E518" s="10"/>
      <c r="H518" s="12"/>
      <c r="I518" s="13"/>
    </row>
    <row r="519" spans="1:9">
      <c r="A519" s="35"/>
      <c r="C519" s="10"/>
      <c r="D519" s="11"/>
      <c r="E519" s="10"/>
      <c r="H519" s="12"/>
      <c r="I519" s="13"/>
    </row>
    <row r="520" spans="1:9">
      <c r="A520" s="35"/>
      <c r="C520" s="10"/>
      <c r="D520" s="11"/>
      <c r="E520" s="10"/>
      <c r="I520" s="13"/>
    </row>
    <row r="521" spans="1:9">
      <c r="A521" s="35"/>
      <c r="C521" s="10"/>
      <c r="D521" s="11"/>
      <c r="E521" s="10"/>
      <c r="I521" s="13"/>
    </row>
    <row r="522" spans="1:9">
      <c r="A522" s="35"/>
      <c r="C522" s="10"/>
      <c r="D522" s="11"/>
      <c r="E522" s="10"/>
      <c r="I522" s="13"/>
    </row>
    <row r="523" spans="1:9">
      <c r="A523" s="35"/>
      <c r="C523" s="10"/>
      <c r="D523" s="11"/>
      <c r="E523" s="10"/>
      <c r="I523" s="13"/>
    </row>
    <row r="524" spans="1:9">
      <c r="A524" s="35"/>
      <c r="C524" s="10"/>
      <c r="D524" s="11"/>
      <c r="E524" s="10"/>
      <c r="I524" s="10"/>
    </row>
    <row r="525" spans="1:9">
      <c r="A525" s="35"/>
      <c r="C525" s="10"/>
      <c r="D525" s="11"/>
      <c r="E525" s="10"/>
      <c r="I525" s="13"/>
    </row>
    <row r="526" spans="1:9">
      <c r="A526" s="35"/>
      <c r="C526" s="10"/>
      <c r="D526" s="11"/>
      <c r="E526" s="10"/>
      <c r="I526" s="13"/>
    </row>
    <row r="527" spans="1:9">
      <c r="A527" s="35"/>
      <c r="C527" s="10"/>
      <c r="D527" s="11"/>
      <c r="E527" s="10"/>
      <c r="I527" s="13"/>
    </row>
    <row r="528" spans="1:9">
      <c r="A528" s="35"/>
      <c r="C528" s="10"/>
      <c r="D528" s="11"/>
      <c r="E528" s="10"/>
      <c r="I528" s="13"/>
    </row>
    <row r="529" spans="1:9">
      <c r="A529" s="35"/>
      <c r="C529" s="10"/>
      <c r="D529" s="11"/>
      <c r="E529" s="10"/>
      <c r="I529" s="13"/>
    </row>
    <row r="530" spans="1:9">
      <c r="A530" s="35"/>
      <c r="C530" s="10"/>
      <c r="D530" s="11"/>
      <c r="E530" s="10"/>
      <c r="I530" s="13"/>
    </row>
    <row r="531" spans="1:9">
      <c r="A531" s="35"/>
      <c r="C531" s="10"/>
      <c r="D531" s="11"/>
      <c r="E531" s="10"/>
      <c r="I531" s="13"/>
    </row>
    <row r="532" spans="1:9">
      <c r="A532" s="35"/>
      <c r="C532" s="10"/>
      <c r="D532" s="11"/>
      <c r="E532" s="10"/>
      <c r="I532" s="13"/>
    </row>
    <row r="533" spans="1:9">
      <c r="A533" s="35"/>
      <c r="C533" s="10"/>
      <c r="D533" s="11"/>
      <c r="E533" s="10"/>
      <c r="I533" s="13"/>
    </row>
    <row r="534" spans="1:9">
      <c r="A534" s="35"/>
      <c r="C534" s="10"/>
      <c r="D534" s="11"/>
      <c r="E534" s="10"/>
      <c r="I534" s="13"/>
    </row>
    <row r="535" spans="1:9">
      <c r="A535" s="35"/>
      <c r="C535" s="10"/>
      <c r="D535" s="11"/>
      <c r="E535" s="10"/>
      <c r="I535" s="13"/>
    </row>
    <row r="536" spans="1:9">
      <c r="A536" s="35"/>
      <c r="C536" s="10"/>
      <c r="D536" s="11"/>
      <c r="E536" s="10"/>
      <c r="I536" s="13"/>
    </row>
    <row r="537" spans="1:9">
      <c r="A537" s="35"/>
      <c r="C537" s="10"/>
      <c r="D537" s="11"/>
      <c r="E537" s="10"/>
      <c r="I537" s="10"/>
    </row>
    <row r="538" spans="1:9">
      <c r="A538" s="35"/>
      <c r="B538" s="36"/>
      <c r="C538" s="10"/>
      <c r="D538" s="11"/>
      <c r="E538" s="10"/>
      <c r="I538" s="10"/>
    </row>
    <row r="539" spans="1:9">
      <c r="A539" s="35"/>
      <c r="C539" s="10"/>
      <c r="D539" s="11"/>
      <c r="E539" s="10"/>
      <c r="I539" s="10"/>
    </row>
    <row r="540" spans="1:9">
      <c r="A540" s="35"/>
      <c r="C540" s="10"/>
      <c r="D540" s="11"/>
      <c r="E540" s="10"/>
      <c r="I540" s="10"/>
    </row>
    <row r="541" spans="1:9">
      <c r="A541" s="35"/>
      <c r="C541" s="10"/>
      <c r="D541" s="11"/>
      <c r="E541" s="10"/>
      <c r="I541" s="10"/>
    </row>
    <row r="542" spans="1:9">
      <c r="A542" s="35"/>
      <c r="C542" s="10"/>
      <c r="D542" s="11"/>
      <c r="E542" s="10"/>
      <c r="I542" s="10"/>
    </row>
    <row r="543" spans="1:9">
      <c r="A543" s="35"/>
      <c r="C543" s="10"/>
      <c r="D543" s="11"/>
      <c r="E543" s="10"/>
      <c r="I543" s="10"/>
    </row>
    <row r="544" spans="1:9">
      <c r="A544" s="35"/>
      <c r="C544" s="10"/>
      <c r="D544" s="11"/>
      <c r="E544" s="10"/>
      <c r="I544" s="10"/>
    </row>
    <row r="545" spans="1:9">
      <c r="A545" s="35"/>
      <c r="C545" s="10"/>
      <c r="D545" s="11"/>
      <c r="E545" s="10"/>
      <c r="I545" s="10"/>
    </row>
    <row r="546" spans="1:9">
      <c r="A546" s="35"/>
      <c r="C546" s="10"/>
      <c r="D546" s="11"/>
      <c r="E546" s="10"/>
      <c r="I546" s="10"/>
    </row>
    <row r="547" spans="1:9">
      <c r="A547" s="35"/>
      <c r="C547" s="10"/>
      <c r="D547" s="11"/>
      <c r="E547" s="10"/>
      <c r="I547" s="10"/>
    </row>
    <row r="548" spans="1:9">
      <c r="A548" s="35"/>
      <c r="C548" s="10"/>
      <c r="D548" s="11"/>
      <c r="E548" s="10"/>
      <c r="I548" s="10"/>
    </row>
    <row r="549" spans="1:9">
      <c r="A549" s="35"/>
      <c r="C549" s="10"/>
      <c r="D549" s="11"/>
      <c r="E549" s="10"/>
      <c r="I549" s="10"/>
    </row>
    <row r="550" spans="1:9">
      <c r="A550" s="35"/>
      <c r="C550" s="10"/>
      <c r="D550" s="11"/>
      <c r="E550" s="10"/>
      <c r="I550" s="10"/>
    </row>
    <row r="551" spans="1:9">
      <c r="A551" s="35"/>
      <c r="C551" s="10"/>
      <c r="D551" s="11"/>
      <c r="E551" s="10"/>
      <c r="I551" s="10"/>
    </row>
    <row r="552" spans="1:9">
      <c r="A552" s="35"/>
      <c r="C552" s="10"/>
      <c r="D552" s="11"/>
      <c r="E552" s="10"/>
      <c r="I552" s="10"/>
    </row>
    <row r="553" spans="1:9">
      <c r="A553" s="35"/>
      <c r="C553" s="10"/>
      <c r="D553" s="11"/>
      <c r="E553" s="10"/>
      <c r="I553" s="10"/>
    </row>
    <row r="554" spans="1:9">
      <c r="A554" s="35"/>
      <c r="C554" s="10"/>
      <c r="D554" s="11"/>
      <c r="E554" s="10"/>
      <c r="I554" s="10"/>
    </row>
    <row r="555" spans="1:9">
      <c r="A555" s="35"/>
      <c r="C555" s="10"/>
      <c r="D555" s="11"/>
      <c r="E555" s="10"/>
      <c r="G555" s="10"/>
      <c r="H555" s="11"/>
      <c r="I555" s="10"/>
    </row>
    <row r="556" spans="1:9">
      <c r="A556" s="35"/>
      <c r="C556" s="10"/>
      <c r="D556" s="11"/>
      <c r="E556" s="10"/>
      <c r="G556" s="10"/>
      <c r="H556" s="11"/>
      <c r="I556" s="10"/>
    </row>
    <row r="557" spans="1:9">
      <c r="A557" s="35"/>
      <c r="C557" s="10"/>
      <c r="D557" s="11"/>
      <c r="E557" s="10"/>
      <c r="G557" s="10"/>
      <c r="H557" s="11"/>
      <c r="I557" s="10"/>
    </row>
    <row r="558" spans="1:9">
      <c r="A558" s="35"/>
      <c r="C558" s="10"/>
      <c r="D558" s="11"/>
      <c r="E558" s="10"/>
      <c r="I558" s="10"/>
    </row>
    <row r="559" spans="1:9">
      <c r="A559" s="35"/>
      <c r="C559" s="10"/>
      <c r="D559" s="11"/>
      <c r="E559" s="10"/>
      <c r="I559" s="10"/>
    </row>
    <row r="560" spans="1:9">
      <c r="A560" s="35"/>
      <c r="C560" s="10"/>
      <c r="D560" s="11"/>
      <c r="E560" s="10"/>
      <c r="I560" s="10"/>
    </row>
    <row r="561" spans="1:9">
      <c r="A561" s="35"/>
      <c r="C561" s="10"/>
      <c r="D561" s="11"/>
      <c r="E561" s="10"/>
      <c r="I561" s="10"/>
    </row>
    <row r="562" spans="1:9">
      <c r="A562" s="35"/>
      <c r="C562" s="10"/>
      <c r="D562" s="11"/>
      <c r="E562" s="10"/>
      <c r="I562" s="10"/>
    </row>
    <row r="563" spans="1:9">
      <c r="A563" s="35"/>
      <c r="C563" s="39"/>
      <c r="D563" s="40"/>
      <c r="E563" s="39"/>
      <c r="I563" s="10"/>
    </row>
    <row r="564" spans="1:9">
      <c r="A564" s="35"/>
      <c r="C564" s="39"/>
      <c r="D564" s="40"/>
      <c r="E564" s="39"/>
    </row>
    <row r="565" spans="1:9">
      <c r="A565" s="35"/>
      <c r="C565" s="10"/>
      <c r="D565" s="11"/>
      <c r="E565" s="10"/>
    </row>
    <row r="566" spans="1:9">
      <c r="A566" s="35"/>
      <c r="C566" s="10"/>
      <c r="D566" s="11"/>
      <c r="E566" s="10"/>
      <c r="I566" s="10"/>
    </row>
    <row r="567" spans="1:9">
      <c r="A567" s="35"/>
      <c r="C567" s="10"/>
      <c r="D567" s="11"/>
      <c r="E567" s="10"/>
      <c r="I567" s="10"/>
    </row>
    <row r="568" spans="1:9">
      <c r="A568" s="35"/>
      <c r="C568" s="10"/>
      <c r="D568" s="11"/>
      <c r="E568" s="10"/>
      <c r="I568" s="10"/>
    </row>
    <row r="569" spans="1:9">
      <c r="A569" s="35"/>
      <c r="C569" s="10"/>
      <c r="D569" s="11"/>
      <c r="E569" s="10"/>
      <c r="I569" s="10"/>
    </row>
    <row r="570" spans="1:9">
      <c r="A570" s="35"/>
      <c r="C570" s="10"/>
      <c r="D570" s="11"/>
      <c r="E570" s="10"/>
      <c r="G570" s="10"/>
      <c r="H570" s="11"/>
      <c r="I570" s="10"/>
    </row>
    <row r="571" spans="1:9">
      <c r="A571" s="35"/>
      <c r="C571" s="10"/>
      <c r="D571" s="11"/>
      <c r="E571" s="10"/>
      <c r="G571" s="10"/>
      <c r="H571" s="11"/>
      <c r="I571" s="10"/>
    </row>
    <row r="572" spans="1:9">
      <c r="A572" s="35"/>
      <c r="C572" s="10"/>
      <c r="D572" s="11"/>
      <c r="E572" s="10"/>
      <c r="G572" s="10"/>
      <c r="H572" s="11"/>
      <c r="I572" s="10"/>
    </row>
    <row r="573" spans="1:9">
      <c r="A573" s="35"/>
      <c r="C573" s="10"/>
      <c r="D573" s="11"/>
      <c r="E573" s="10"/>
      <c r="G573" s="10"/>
      <c r="H573" s="11"/>
      <c r="I573" s="10"/>
    </row>
    <row r="574" spans="1:9">
      <c r="A574" s="35"/>
      <c r="C574" s="10"/>
      <c r="D574" s="11"/>
      <c r="E574" s="10"/>
      <c r="G574" s="10"/>
      <c r="H574" s="11"/>
      <c r="I574" s="10"/>
    </row>
    <row r="575" spans="1:9">
      <c r="A575" s="35"/>
      <c r="C575" s="10"/>
      <c r="D575" s="11"/>
      <c r="E575" s="10"/>
      <c r="G575" s="10"/>
      <c r="H575" s="11"/>
      <c r="I575" s="10"/>
    </row>
    <row r="576" spans="1:9">
      <c r="A576" s="35"/>
      <c r="C576" s="10"/>
      <c r="D576" s="11"/>
      <c r="E576" s="10"/>
      <c r="G576" s="10"/>
      <c r="H576" s="11"/>
      <c r="I576" s="10"/>
    </row>
    <row r="577" spans="1:9">
      <c r="A577" s="35"/>
      <c r="C577" s="10"/>
      <c r="D577" s="11"/>
      <c r="E577" s="10"/>
      <c r="G577" s="10"/>
      <c r="H577" s="11"/>
      <c r="I577" s="10"/>
    </row>
    <row r="578" spans="1:9">
      <c r="A578" s="35"/>
      <c r="C578" s="10"/>
      <c r="D578" s="11"/>
      <c r="E578" s="10"/>
      <c r="I578" s="10"/>
    </row>
    <row r="579" spans="1:9">
      <c r="A579" s="35"/>
      <c r="C579" s="10"/>
      <c r="D579" s="11"/>
      <c r="E579" s="10"/>
      <c r="I579" s="10"/>
    </row>
    <row r="580" spans="1:9">
      <c r="A580" s="35"/>
      <c r="C580" s="10"/>
      <c r="D580" s="11"/>
      <c r="E580" s="10"/>
      <c r="I580" s="10"/>
    </row>
    <row r="581" spans="1:9">
      <c r="A581" s="35"/>
      <c r="C581" s="10"/>
      <c r="D581" s="11"/>
      <c r="E581" s="10"/>
      <c r="I581" s="10"/>
    </row>
    <row r="582" spans="1:9">
      <c r="A582" s="35"/>
      <c r="C582" s="10"/>
      <c r="D582" s="11"/>
      <c r="E582" s="10"/>
      <c r="I582" s="10"/>
    </row>
    <row r="583" spans="1:9">
      <c r="A583" s="35"/>
      <c r="C583" s="10"/>
      <c r="D583" s="11"/>
      <c r="E583" s="10"/>
      <c r="I583" s="10"/>
    </row>
    <row r="584" spans="1:9">
      <c r="A584" s="35"/>
      <c r="C584" s="10"/>
      <c r="D584" s="11"/>
      <c r="E584" s="10"/>
      <c r="I584" s="10"/>
    </row>
    <row r="585" spans="1:9">
      <c r="A585" s="35"/>
      <c r="C585" s="10"/>
      <c r="D585" s="11"/>
      <c r="E585" s="10"/>
      <c r="I585" s="10"/>
    </row>
    <row r="586" spans="1:9">
      <c r="A586" s="35"/>
      <c r="B586" s="38"/>
      <c r="C586" s="10"/>
      <c r="D586" s="11"/>
      <c r="E586" s="10"/>
      <c r="I586" s="10"/>
    </row>
    <row r="587" spans="1:9">
      <c r="A587" s="35"/>
      <c r="C587" s="10"/>
      <c r="D587" s="11"/>
      <c r="E587" s="10"/>
      <c r="I587" s="10"/>
    </row>
    <row r="588" spans="1:9">
      <c r="A588" s="35"/>
      <c r="C588" s="10"/>
      <c r="D588" s="11"/>
      <c r="E588" s="10"/>
    </row>
    <row r="589" spans="1:9">
      <c r="A589" s="35"/>
      <c r="C589" s="10"/>
      <c r="D589" s="11"/>
      <c r="E589" s="10"/>
      <c r="I589" s="10"/>
    </row>
    <row r="590" spans="1:9">
      <c r="A590" s="35"/>
      <c r="C590" s="10"/>
      <c r="D590" s="11"/>
      <c r="E590" s="10"/>
    </row>
    <row r="591" spans="1:9">
      <c r="A591" s="35"/>
      <c r="C591" s="10"/>
      <c r="D591" s="11"/>
      <c r="E591" s="10"/>
    </row>
    <row r="592" spans="1:9">
      <c r="A592" s="35"/>
      <c r="C592" s="10"/>
      <c r="D592" s="11"/>
      <c r="E592" s="10"/>
    </row>
    <row r="593" spans="1:9">
      <c r="A593" s="35"/>
      <c r="C593" s="10"/>
      <c r="D593" s="11"/>
      <c r="E593" s="10"/>
    </row>
    <row r="594" spans="1:9">
      <c r="A594" s="35"/>
      <c r="C594" s="10"/>
      <c r="D594" s="11"/>
      <c r="E594" s="10"/>
      <c r="G594" s="10"/>
      <c r="H594" s="11"/>
      <c r="I594" s="10"/>
    </row>
    <row r="595" spans="1:9">
      <c r="A595" s="35"/>
      <c r="C595" s="10"/>
      <c r="D595" s="11"/>
      <c r="E595" s="10"/>
      <c r="G595" s="10"/>
      <c r="H595" s="11"/>
      <c r="I595" s="10"/>
    </row>
    <row r="596" spans="1:9">
      <c r="A596" s="35"/>
      <c r="C596" s="10"/>
      <c r="D596" s="11"/>
      <c r="E596" s="10"/>
      <c r="G596" s="10"/>
      <c r="H596" s="11"/>
      <c r="I596" s="10"/>
    </row>
    <row r="597" spans="1:9">
      <c r="A597" s="35"/>
      <c r="C597" s="10"/>
      <c r="D597" s="11"/>
      <c r="E597" s="10"/>
      <c r="G597" s="10"/>
      <c r="H597" s="11"/>
      <c r="I597" s="10"/>
    </row>
    <row r="598" spans="1:9">
      <c r="A598" s="35"/>
      <c r="C598" s="10"/>
      <c r="D598" s="11"/>
      <c r="E598" s="10"/>
      <c r="G598" s="10"/>
      <c r="H598" s="11"/>
      <c r="I598" s="10"/>
    </row>
    <row r="599" spans="1:9">
      <c r="A599" s="35"/>
      <c r="C599" s="10"/>
      <c r="D599" s="11"/>
      <c r="E599" s="10"/>
      <c r="G599" s="10"/>
      <c r="H599" s="11"/>
      <c r="I599" s="10"/>
    </row>
    <row r="600" spans="1:9">
      <c r="A600" s="35"/>
      <c r="C600" s="10"/>
      <c r="D600" s="11"/>
      <c r="E600" s="10"/>
      <c r="G600" s="10"/>
      <c r="H600" s="11"/>
      <c r="I600" s="10"/>
    </row>
    <row r="601" spans="1:9">
      <c r="A601" s="35"/>
      <c r="C601" s="10"/>
      <c r="D601" s="11"/>
      <c r="E601" s="10"/>
      <c r="G601" s="10"/>
      <c r="H601" s="11"/>
      <c r="I601" s="10"/>
    </row>
    <row r="602" spans="1:9">
      <c r="A602" s="35"/>
      <c r="C602" s="10"/>
      <c r="D602" s="11"/>
      <c r="E602" s="10"/>
      <c r="G602" s="10"/>
      <c r="H602" s="11"/>
      <c r="I602" s="10"/>
    </row>
    <row r="603" spans="1:9">
      <c r="A603" s="35"/>
      <c r="C603" s="10"/>
      <c r="D603" s="11"/>
      <c r="E603" s="10"/>
      <c r="G603" s="10"/>
      <c r="H603" s="11"/>
      <c r="I603" s="10"/>
    </row>
    <row r="604" spans="1:9">
      <c r="A604" s="35"/>
      <c r="C604" s="10"/>
      <c r="D604" s="11"/>
      <c r="E604" s="10"/>
      <c r="G604" s="10"/>
      <c r="H604" s="11"/>
      <c r="I604" s="10"/>
    </row>
    <row r="605" spans="1:9">
      <c r="A605" s="35"/>
      <c r="C605" s="10"/>
      <c r="D605" s="11"/>
      <c r="E605" s="10"/>
      <c r="G605" s="10"/>
      <c r="H605" s="11"/>
      <c r="I605" s="10"/>
    </row>
    <row r="606" spans="1:9">
      <c r="A606" s="35"/>
      <c r="C606" s="10"/>
      <c r="D606" s="11"/>
      <c r="E606" s="10"/>
      <c r="G606" s="10"/>
      <c r="H606" s="11"/>
      <c r="I606" s="10"/>
    </row>
    <row r="607" spans="1:9">
      <c r="A607" s="35"/>
      <c r="C607" s="10"/>
      <c r="D607" s="11"/>
      <c r="E607" s="10"/>
      <c r="G607" s="10"/>
      <c r="H607" s="11"/>
      <c r="I607" s="10"/>
    </row>
    <row r="608" spans="1:9">
      <c r="A608" s="35"/>
      <c r="C608" s="10"/>
      <c r="D608" s="11"/>
      <c r="E608" s="10"/>
      <c r="G608" s="10"/>
      <c r="H608" s="11"/>
      <c r="I608" s="10"/>
    </row>
    <row r="609" spans="1:9">
      <c r="A609" s="35"/>
      <c r="C609" s="10"/>
      <c r="D609" s="11"/>
      <c r="E609" s="10"/>
      <c r="G609" s="10"/>
      <c r="H609" s="11"/>
      <c r="I609" s="10"/>
    </row>
    <row r="610" spans="1:9">
      <c r="A610" s="35"/>
      <c r="B610" s="36"/>
      <c r="C610" s="10"/>
      <c r="D610" s="11"/>
      <c r="E610" s="10"/>
      <c r="G610" s="10"/>
      <c r="H610" s="11"/>
      <c r="I610" s="10"/>
    </row>
    <row r="611" spans="1:9">
      <c r="A611" s="35"/>
      <c r="C611" s="10"/>
      <c r="D611" s="11"/>
      <c r="E611" s="10"/>
      <c r="G611" s="10"/>
      <c r="H611" s="11"/>
      <c r="I611" s="10"/>
    </row>
    <row r="612" spans="1:9">
      <c r="A612" s="35"/>
      <c r="B612" s="38"/>
      <c r="C612" s="10"/>
      <c r="D612" s="11"/>
      <c r="E612" s="10"/>
      <c r="G612" s="10"/>
      <c r="H612" s="11"/>
      <c r="I612" s="10"/>
    </row>
    <row r="613" spans="1:9">
      <c r="A613" s="35"/>
      <c r="C613" s="10"/>
      <c r="D613" s="11"/>
      <c r="E613" s="10"/>
      <c r="G613" s="10"/>
      <c r="H613" s="11"/>
      <c r="I613" s="10"/>
    </row>
    <row r="614" spans="1:9">
      <c r="A614" s="35"/>
      <c r="C614" s="10"/>
      <c r="D614" s="11"/>
      <c r="E614" s="10"/>
      <c r="G614" s="10"/>
      <c r="H614" s="11"/>
      <c r="I614" s="10"/>
    </row>
    <row r="615" spans="1:9">
      <c r="A615" s="35"/>
      <c r="C615" s="10"/>
      <c r="D615" s="11"/>
      <c r="E615" s="10"/>
    </row>
    <row r="616" spans="1:9">
      <c r="A616" s="35"/>
      <c r="C616" s="10"/>
      <c r="D616" s="11"/>
      <c r="E616" s="10"/>
    </row>
    <row r="617" spans="1:9">
      <c r="A617" s="35"/>
      <c r="C617" s="39"/>
      <c r="D617" s="40"/>
      <c r="E617" s="39"/>
    </row>
    <row r="618" spans="1:9">
      <c r="C618" s="41"/>
      <c r="D618" s="40"/>
      <c r="E618" s="41"/>
    </row>
    <row r="619" spans="1:9">
      <c r="C619" s="14"/>
      <c r="D619" s="11"/>
      <c r="E619" s="14"/>
    </row>
    <row r="620" spans="1:9">
      <c r="C620" s="14"/>
      <c r="D620" s="32"/>
      <c r="E620" s="14"/>
      <c r="G620" s="10"/>
      <c r="H620" s="10"/>
      <c r="I620" s="10"/>
    </row>
    <row r="621" spans="1:9">
      <c r="C621" s="14"/>
      <c r="D621" s="32"/>
      <c r="E621" s="14"/>
    </row>
    <row r="622" spans="1:9">
      <c r="C622" s="15"/>
      <c r="D622" s="11"/>
      <c r="E622" s="15"/>
    </row>
    <row r="623" spans="1:9">
      <c r="C623" s="10"/>
      <c r="D623" s="11"/>
      <c r="E623" s="10"/>
    </row>
    <row r="624" spans="1:9">
      <c r="C624" s="10"/>
      <c r="D624" s="11"/>
      <c r="E624" s="10"/>
    </row>
    <row r="625" spans="3:5">
      <c r="C625" s="6"/>
      <c r="D625" s="11"/>
      <c r="E625" s="6"/>
    </row>
    <row r="626" spans="3:5">
      <c r="C626"/>
      <c r="D626" s="11"/>
      <c r="E626"/>
    </row>
    <row r="627" spans="3:5">
      <c r="C627" s="6"/>
      <c r="D627" s="11"/>
      <c r="E627" s="6"/>
    </row>
    <row r="628" spans="3:5">
      <c r="C628" s="14"/>
      <c r="D628" s="32"/>
      <c r="E628" s="14"/>
    </row>
    <row r="629" spans="3:5">
      <c r="C629" s="14"/>
      <c r="D629" s="32"/>
      <c r="E629" s="14"/>
    </row>
    <row r="630" spans="3:5">
      <c r="C630" s="14"/>
      <c r="D630" s="32"/>
      <c r="E630" s="14"/>
    </row>
  </sheetData>
  <mergeCells count="4">
    <mergeCell ref="A8:E8"/>
    <mergeCell ref="A9:E9"/>
    <mergeCell ref="A11:E11"/>
    <mergeCell ref="A12:E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CNMP - Conselho Nacional do Ministério Público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Silva Barbosa</dc:creator>
  <cp:keywords/>
  <dc:description/>
  <cp:lastModifiedBy/>
  <cp:revision/>
  <dcterms:created xsi:type="dcterms:W3CDTF">2022-11-09T16:15:03Z</dcterms:created>
  <dcterms:modified xsi:type="dcterms:W3CDTF">2023-12-28T20:34:53Z</dcterms:modified>
  <cp:category/>
  <cp:contentStatus/>
</cp:coreProperties>
</file>