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8" firstSheet="8" activeTab="11"/>
  </bookViews>
  <sheets>
    <sheet name="Tecnico Eletr. Manut. Senior" sheetId="1" r:id="rId1"/>
    <sheet name="Auxiliar de Eletr.Manut.Predial" sheetId="2" r:id="rId2"/>
    <sheet name="Técnico Inst. Hidros.Sênior" sheetId="3" r:id="rId3"/>
    <sheet name="Arítifice em Manutençã Predial" sheetId="4" r:id="rId4"/>
    <sheet name="Técncio de Telefonia de Rede" sheetId="5" r:id="rId5"/>
    <sheet name="Auxiliar de Telefonia de Rede" sheetId="6" r:id="rId6"/>
    <sheet name="Técnico Mecânica  Refr. ar cond" sheetId="7" r:id="rId7"/>
    <sheet name="Técnico Mêcanica Refr. climatiz" sheetId="8" r:id="rId8"/>
    <sheet name="Auxiliar de Mecânico" sheetId="9" r:id="rId9"/>
    <sheet name="Técnico em Automação" sheetId="10" r:id="rId10"/>
    <sheet name=" Encarregado Geral" sheetId="11" r:id="rId11"/>
    <sheet name="Auxiliar de Encarregado" sheetId="12" r:id="rId12"/>
    <sheet name="Engenheiro Civil" sheetId="13" r:id="rId13"/>
    <sheet name="Engenheiro Mecânico" sheetId="14" r:id="rId14"/>
    <sheet name="Pedreiro" sheetId="15" r:id="rId15"/>
    <sheet name="Pintor" sheetId="16" r:id="rId16"/>
    <sheet name="Marceneiro" sheetId="17" r:id="rId17"/>
    <sheet name="Serralheiro" sheetId="18" r:id="rId18"/>
    <sheet name="Vidraceiro" sheetId="19" r:id="rId19"/>
    <sheet name="Aj. Serviços Gerais" sheetId="20" r:id="rId20"/>
    <sheet name="ResumoProfissionais por Demanda" sheetId="21" r:id="rId21"/>
    <sheet name="Resumo Resid._Prof. Técnicos" sheetId="22" r:id="rId22"/>
    <sheet name="Resumo Geral" sheetId="23" r:id="rId23"/>
  </sheets>
  <definedNames>
    <definedName name="_xlnm.Print_Area" localSheetId="10">' Encarregado Geral'!$A$1:$C$71</definedName>
    <definedName name="_xlnm.Print_Area" localSheetId="19">'Aj. Serviços Gerais'!$B$1:$C$55</definedName>
    <definedName name="_xlnm.Print_Area" localSheetId="3">'Arítifice em Manutençã Predial'!$A$1:$C$56</definedName>
    <definedName name="_xlnm.Print_Area" localSheetId="1">'Auxiliar de Eletr.Manut.Predial'!$A$1:$C$71</definedName>
    <definedName name="_xlnm.Print_Area" localSheetId="11">'Auxiliar de Encarregado'!$B$1:$C$54</definedName>
    <definedName name="_xlnm.Print_Area" localSheetId="8">'Auxiliar de Mecânico'!$A$1:$C$71</definedName>
    <definedName name="_xlnm.Print_Area" localSheetId="5">'Auxiliar de Telefonia de Rede'!$B$1:$C$71</definedName>
    <definedName name="_xlnm.Print_Area" localSheetId="12">'Engenheiro Civil'!$A$1:$C$69</definedName>
    <definedName name="_xlnm.Print_Area" localSheetId="13">'Engenheiro Mecânico'!$A$1:$C$69</definedName>
    <definedName name="_xlnm.Print_Area" localSheetId="16">'Marceneiro'!$B$1:$C$55</definedName>
    <definedName name="_xlnm.Print_Area" localSheetId="14">'Pedreiro'!$B$1:$C$56</definedName>
    <definedName name="_xlnm.Print_Area" localSheetId="15">'Pintor'!$B$1:$C$55</definedName>
    <definedName name="_xlnm.Print_Area" localSheetId="17">'Serralheiro'!$B$1:$C$56</definedName>
    <definedName name="_xlnm.Print_Area" localSheetId="4">'Técncio de Telefonia de Rede'!$A$1:$C$73</definedName>
    <definedName name="_xlnm.Print_Area" localSheetId="0">'Tecnico Eletr. Manut. Senior'!$A$1:$D$75</definedName>
    <definedName name="_xlnm.Print_Area" localSheetId="9">'Técnico em Automação'!$A$1:$C$71</definedName>
    <definedName name="_xlnm.Print_Area" localSheetId="2">'Técnico Inst. Hidros.Sênior'!$B$1:$D$71</definedName>
    <definedName name="_xlnm.Print_Area" localSheetId="6">'Técnico Mecânica  Refr. ar cond'!$A$1:$C$71</definedName>
    <definedName name="_xlnm.Print_Area" localSheetId="7">'Técnico Mêcanica Refr. climatiz'!$A$1:$C$71</definedName>
    <definedName name="_xlnm.Print_Area" localSheetId="18">'Vidraceiro'!$B$1:$C$55</definedName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0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7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Arial"/>
            <family val="1"/>
          </rPr>
          <t xml:space="preserve"> Informar o valor do salário base da categoria, relativamente a um empregado.</t>
        </r>
      </text>
    </comment>
    <comment ref="C6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Arial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Arial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Arial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Arial"/>
            <family val="1"/>
          </rPr>
          <t xml:space="preserve"> </t>
        </r>
        <r>
          <rPr>
            <b/>
            <sz val="8"/>
            <color indexed="8"/>
            <rFont val="Arial"/>
            <family val="1"/>
          </rPr>
          <t xml:space="preserve">Informar o valor de cada benefício previsto no acordo coletivo da categoria.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Arial"/>
            <family val="1"/>
          </rPr>
          <t xml:space="preserve"> Informar o valor do salário base da categoria, relativamente a um empregado.</t>
        </r>
      </text>
    </comment>
    <comment ref="C6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Arial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Arial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Arial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Arial"/>
            <family val="1"/>
          </rPr>
          <t xml:space="preserve"> </t>
        </r>
        <r>
          <rPr>
            <b/>
            <sz val="8"/>
            <color indexed="8"/>
            <rFont val="Arial"/>
            <family val="1"/>
          </rPr>
          <t xml:space="preserve">Informar o valor de cada benefício previsto no acordo coletivo da categoria.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Arial"/>
            <family val="1"/>
          </rPr>
          <t xml:space="preserve"> Informar o valor do salário base da categoria, relativamente a um empregado.</t>
        </r>
      </text>
    </comment>
    <comment ref="C6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Arial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Arial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Arial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Arial"/>
            <family val="1"/>
          </rPr>
          <t xml:space="preserve"> </t>
        </r>
        <r>
          <rPr>
            <b/>
            <sz val="8"/>
            <color indexed="8"/>
            <rFont val="Arial"/>
            <family val="1"/>
          </rPr>
          <t xml:space="preserve">Informar o valor de cada benefício previsto no acordo coletivo da categoria.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Arial"/>
            <family val="1"/>
          </rPr>
          <t xml:space="preserve"> Informar o valor do salário base da categoria, relativamente a um empregado.</t>
        </r>
      </text>
    </comment>
    <comment ref="C6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Arial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Arial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Arial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Arial"/>
            <family val="1"/>
          </rPr>
          <t xml:space="preserve"> </t>
        </r>
        <r>
          <rPr>
            <b/>
            <sz val="8"/>
            <color indexed="8"/>
            <rFont val="Arial"/>
            <family val="1"/>
          </rPr>
          <t xml:space="preserve">Informar o valor de cada benefício previsto no acordo coletivo da categoria.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Arial"/>
            <family val="1"/>
          </rPr>
          <t xml:space="preserve"> Informar o valor do salário base da categoria, relativamente a um empregado.</t>
        </r>
      </text>
    </comment>
    <comment ref="C6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Arial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Arial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Arial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Arial"/>
            <family val="1"/>
          </rPr>
          <t xml:space="preserve"> </t>
        </r>
        <r>
          <rPr>
            <b/>
            <sz val="8"/>
            <color indexed="8"/>
            <rFont val="Arial"/>
            <family val="1"/>
          </rPr>
          <t xml:space="preserve">Informar o valor de cada benefício previsto no acordo coletivo da categoria.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Arial"/>
            <family val="1"/>
          </rPr>
          <t xml:space="preserve"> Informar o valor do salário base da categoria, relativamente a um empregado.</t>
        </r>
      </text>
    </comment>
    <comment ref="C6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Arial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Arial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Arial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Arial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Arial"/>
            <family val="1"/>
          </rPr>
          <t xml:space="preserve"> </t>
        </r>
        <r>
          <rPr>
            <b/>
            <sz val="8"/>
            <color indexed="8"/>
            <rFont val="Arial"/>
            <family val="1"/>
          </rPr>
          <t xml:space="preserve">Informar o valor de cada benefício previsto no acordo coletivo da categoria.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50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7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</commentList>
</comments>
</file>

<file path=xl/sharedStrings.xml><?xml version="1.0" encoding="utf-8"?>
<sst xmlns="http://schemas.openxmlformats.org/spreadsheetml/2006/main" count="1286" uniqueCount="164">
  <si>
    <t>ENTRADA DE DADOS</t>
  </si>
  <si>
    <t>REMUNERAÇÃO CONFORME ACORDO COLETIVO DA CATEGORIA</t>
  </si>
  <si>
    <r>
      <t xml:space="preserve">Salário do Técnico Eletricista de Manutenção Predial - Sênior 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</si>
  <si>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</si>
  <si>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</si>
  <si>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 xml:space="preserve">Quantidade de empregados </t>
    </r>
    <r>
      <rPr>
        <b/>
        <sz val="10"/>
        <rFont val="Arial"/>
        <family val="2"/>
      </rPr>
      <t>(3)</t>
    </r>
  </si>
  <si>
    <t>INSUMOS DE MÃO DE OBRA</t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</si>
  <si>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</si>
  <si>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vale-transporte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</si>
  <si>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</si>
  <si>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médico-odontológica </t>
    </r>
    <r>
      <rPr>
        <b/>
        <sz val="10"/>
        <rFont val="Arial"/>
        <family val="2"/>
      </rPr>
      <t>(7)</t>
    </r>
  </si>
  <si>
    <r>
      <t xml:space="preserve">Outros custos por empregado (especificar) </t>
    </r>
    <r>
      <rPr>
        <b/>
        <sz val="10"/>
        <rFont val="Arial"/>
        <family val="2"/>
      </rPr>
      <t>(8)</t>
    </r>
  </si>
  <si>
    <t>INSUMOS DIVERSOS</t>
  </si>
  <si>
    <r>
      <t>Fornecimento de material</t>
    </r>
    <r>
      <rPr>
        <b/>
        <sz val="10"/>
        <rFont val="Arial"/>
        <family val="2"/>
      </rPr>
      <t xml:space="preserve"> (9)</t>
    </r>
  </si>
  <si>
    <t>TRIBUTOS</t>
  </si>
  <si>
    <t>Informar o percentual do ISSQN do município</t>
  </si>
  <si>
    <t>PLANILHA DE CUSTOS</t>
  </si>
  <si>
    <t>Outras Modalidades (Técnico Eletricista de Manutençaõ Predial - Sênior)</t>
  </si>
  <si>
    <t>em R$</t>
  </si>
  <si>
    <t>Descrição do Item</t>
  </si>
  <si>
    <t>Custo</t>
  </si>
  <si>
    <t>Montante A (mão de 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</si>
  <si>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</si>
  <si>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</si>
  <si>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</si>
  <si>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</si>
  <si>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</si>
  <si>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</si>
  <si>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</si>
  <si>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</si>
  <si>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vale-transporte</t>
  </si>
  <si>
    <t>Valor do auxílio-alimentação</t>
  </si>
  <si>
    <t>Valor da assistência médico-odontológica</t>
  </si>
  <si>
    <t>Valor de outros custos por empregado (especificar)</t>
  </si>
  <si>
    <t>Total dos Insumos de Mão-de-Obra</t>
  </si>
  <si>
    <t>Insumos Diversos</t>
  </si>
  <si>
    <t>Fornecimento de material</t>
  </si>
  <si>
    <t>Total de Insumos Diversos</t>
  </si>
  <si>
    <t>Demais Componentes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</si>
  <si>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</si>
  <si>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</si>
  <si>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Total dos Demais Componentes</t>
  </si>
  <si>
    <t>Tributos (12)</t>
  </si>
  <si>
    <t xml:space="preserve">PIS - 0,65% </t>
  </si>
  <si>
    <t>COFINS - 3%</t>
  </si>
  <si>
    <t xml:space="preserve">ISSQN - </t>
  </si>
  <si>
    <t xml:space="preserve"> %</t>
  </si>
  <si>
    <t>Total dos Tributos (sobre o faturamento)</t>
  </si>
  <si>
    <t>Total do Montante B</t>
  </si>
  <si>
    <t>Faturamento = preço unitário por empregado (montante A + montante B)</t>
  </si>
  <si>
    <t>Preço mensal dos serv.da categoria (Faturamento x qde.Empregados)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</si>
  <si>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</si>
  <si>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</si>
  <si>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</si>
  <si>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 xml:space="preserve">(3) </t>
    </r>
    <r>
      <rPr>
        <sz val="10"/>
        <rFont val="Arial"/>
        <family val="2"/>
      </rPr>
      <t>Informar o número de empregados da categoria previsto no projeto básico.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</si>
  <si>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</si>
  <si>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</si>
  <si>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do benefício diário previsto na convenção coletivo da categoria para cada empregado.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</si>
  <si>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</si>
  <si>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insumos.</t>
    </r>
  </si>
  <si>
    <r>
      <t xml:space="preserve">(9) </t>
    </r>
    <r>
      <rPr>
        <sz val="10"/>
        <rFont val="Arial"/>
        <family val="2"/>
      </rPr>
      <t>Somente incluir custos da espécie se previstos no projeto básico.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</si>
  <si>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AUDIN/MPU.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</si>
  <si>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</si>
  <si>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RFB nº 1.234/2012, excluídos o IRPJ e a CSLL por força do Acórdão TCU nº 950/2007 – Plenário. Quanto ao ISSQN utilizar a alíquota prevista na legislação municipal onde os serviços serão prestados.</t>
    </r>
  </si>
  <si>
    <r>
      <t xml:space="preserve">Salário do Auxiliar de Eletricista de Manutenção Predial </t>
    </r>
    <r>
      <rPr>
        <b/>
        <sz val="10"/>
        <rFont val="Arial"/>
        <family val="2"/>
      </rPr>
      <t>(1)</t>
    </r>
  </si>
  <si>
    <t>Outras Modalidades (Auxiliar de Eletricista de Manutenção Predial )</t>
  </si>
  <si>
    <r>
      <t xml:space="preserve">Salário do Técnico em Instalações Hidrossanitáriasl </t>
    </r>
    <r>
      <rPr>
        <b/>
        <sz val="10"/>
        <rFont val="Arial"/>
        <family val="2"/>
      </rPr>
      <t>(1)</t>
    </r>
  </si>
  <si>
    <t>Outras Modalidades (Técnico em Instalações Hidrossanitárias)</t>
  </si>
  <si>
    <r>
      <t xml:space="preserve">Salário do Artífice em Manutenção Geral  </t>
    </r>
    <r>
      <rPr>
        <b/>
        <sz val="10"/>
        <rFont val="Arial"/>
        <family val="2"/>
      </rPr>
      <t>(1)</t>
    </r>
  </si>
  <si>
    <t>Outras Modalidades (Artífice em Manutenção Geral )</t>
  </si>
  <si>
    <r>
      <t xml:space="preserve">Salário do Técnico de Telefonia e Rede  </t>
    </r>
    <r>
      <rPr>
        <b/>
        <sz val="10"/>
        <rFont val="Arial"/>
        <family val="2"/>
      </rPr>
      <t>(1)</t>
    </r>
  </si>
  <si>
    <t>Outras Modalidades (Técnico de Telefonia e Rede )</t>
  </si>
  <si>
    <r>
      <t xml:space="preserve">Salário do Auxiliar de Telefonia de Rede  </t>
    </r>
    <r>
      <rPr>
        <b/>
        <sz val="10"/>
        <rFont val="Arial"/>
        <family val="2"/>
      </rPr>
      <t>(1)</t>
    </r>
  </si>
  <si>
    <t>Outras Modalidades (Auxiliar de Telefonia de Rede )</t>
  </si>
  <si>
    <r>
      <t xml:space="preserve">Salário do Técnico em Mecânica de Refrigeração - ar-condicionado  </t>
    </r>
    <r>
      <rPr>
        <b/>
        <sz val="10"/>
        <rFont val="Arial"/>
        <family val="2"/>
      </rPr>
      <t>(1)</t>
    </r>
  </si>
  <si>
    <t>Outras Modalidades (Técnico em Mecânica de Refrigeração - ar-condicionado)</t>
  </si>
  <si>
    <r>
      <t xml:space="preserve">Salário do Técnico em Mecânica de Refrigeração - climatizadores  </t>
    </r>
    <r>
      <rPr>
        <b/>
        <sz val="10"/>
        <rFont val="Arial"/>
        <family val="2"/>
      </rPr>
      <t>(1)</t>
    </r>
  </si>
  <si>
    <t>Outras Modalidades (Técnico em Mecânica de Refrigeração - climatizadores)</t>
  </si>
  <si>
    <r>
      <t xml:space="preserve">Salário do Auxiliar de Mecânico  </t>
    </r>
    <r>
      <rPr>
        <b/>
        <sz val="10"/>
        <rFont val="Arial"/>
        <family val="2"/>
      </rPr>
      <t>(1)</t>
    </r>
  </si>
  <si>
    <t>Outras Modalidades ( Auxiliar de Mecânico)</t>
  </si>
  <si>
    <r>
      <t xml:space="preserve">Salário do Técnico de Automação  </t>
    </r>
    <r>
      <rPr>
        <b/>
        <sz val="10"/>
        <rFont val="Arial"/>
        <family val="2"/>
      </rPr>
      <t>(1)</t>
    </r>
  </si>
  <si>
    <t>Outras Modalidades (Técnico de Automação )</t>
  </si>
  <si>
    <r>
      <t xml:space="preserve">Salário do Supervisor Técnico Encarregado  </t>
    </r>
    <r>
      <rPr>
        <b/>
        <sz val="10"/>
        <rFont val="Arial"/>
        <family val="2"/>
      </rPr>
      <t>(1)</t>
    </r>
  </si>
  <si>
    <t>Outras Modalidades (Supervisor Técnico Encarregado  )</t>
  </si>
  <si>
    <r>
      <t xml:space="preserve">Salário do Auxiliar de Encarregado  </t>
    </r>
    <r>
      <rPr>
        <b/>
        <sz val="10"/>
        <rFont val="Arial"/>
        <family val="2"/>
      </rPr>
      <t>(1)</t>
    </r>
  </si>
  <si>
    <t>Outras Modalidades (Auxiliar de Encarregado)</t>
  </si>
  <si>
    <r>
      <t xml:space="preserve">Salário do Engenheiro Civil </t>
    </r>
    <r>
      <rPr>
        <b/>
        <sz val="10"/>
        <rFont val="Arial"/>
        <family val="2"/>
      </rPr>
      <t>(1)</t>
    </r>
  </si>
  <si>
    <t>Outras Modalidades (Engenheiro Civil)</t>
  </si>
  <si>
    <t xml:space="preserve">  </t>
  </si>
  <si>
    <r>
      <t xml:space="preserve">Salário do Engenheiro Mecânico </t>
    </r>
    <r>
      <rPr>
        <b/>
        <sz val="10"/>
        <rFont val="Arial"/>
        <family val="2"/>
      </rPr>
      <t>(1)</t>
    </r>
  </si>
  <si>
    <t>Outras Modalidades (Engenheiro Mecânico)</t>
  </si>
  <si>
    <t>DATA BASE DA CATEGORIA(dia/mês/ano): 01/01/2013</t>
  </si>
  <si>
    <r>
      <t xml:space="preserve">Salário do Pedreiro </t>
    </r>
    <r>
      <rPr>
        <b/>
        <sz val="10"/>
        <color indexed="8"/>
        <rFont val="Arial1"/>
        <family val="0"/>
      </rPr>
      <t>(1)</t>
    </r>
  </si>
  <si>
    <r>
      <t>Informar o percentual do adicional de insalubridade</t>
    </r>
    <r>
      <rPr>
        <b/>
        <sz val="10"/>
        <color indexed="8"/>
        <rFont val="Arial1"/>
        <family val="0"/>
      </rPr>
      <t xml:space="preserve">    (2)</t>
    </r>
  </si>
  <si>
    <r>
      <t xml:space="preserve">Informar o percentual do adicional periculosidade </t>
    </r>
    <r>
      <rPr>
        <b/>
        <sz val="10"/>
        <color indexed="8"/>
        <rFont val="Arial1"/>
        <family val="0"/>
      </rPr>
      <t>(2)</t>
    </r>
  </si>
  <si>
    <r>
      <t xml:space="preserve">Quantidade de empregados </t>
    </r>
    <r>
      <rPr>
        <b/>
        <sz val="10"/>
        <color indexed="8"/>
        <rFont val="Arial1"/>
        <family val="0"/>
      </rPr>
      <t>(3)</t>
    </r>
  </si>
  <si>
    <t>INSUMOS DE MÃO-DE-OBRA</t>
  </si>
  <si>
    <r>
      <t>Valor do uniforme</t>
    </r>
    <r>
      <rPr>
        <b/>
        <sz val="10"/>
        <color indexed="8"/>
        <rFont val="Arial1"/>
        <family val="0"/>
      </rPr>
      <t xml:space="preserve"> (4)</t>
    </r>
  </si>
  <si>
    <r>
      <t xml:space="preserve">Valor do vale transporte </t>
    </r>
    <r>
      <rPr>
        <b/>
        <sz val="10"/>
        <color indexed="8"/>
        <rFont val="Arial1"/>
        <family val="0"/>
      </rPr>
      <t>(5)</t>
    </r>
  </si>
  <si>
    <r>
      <t xml:space="preserve">Valor do auxílio-alimentação </t>
    </r>
    <r>
      <rPr>
        <b/>
        <sz val="10"/>
        <color indexed="8"/>
        <rFont val="Arial1"/>
        <family val="0"/>
      </rPr>
      <t>(6)</t>
    </r>
  </si>
  <si>
    <r>
      <t>Fornecimento de material</t>
    </r>
    <r>
      <rPr>
        <b/>
        <sz val="10"/>
        <color indexed="8"/>
        <rFont val="Arial1"/>
        <family val="0"/>
      </rPr>
      <t xml:space="preserve"> (9)</t>
    </r>
  </si>
  <si>
    <r>
      <t xml:space="preserve">Informar o percentual do ISSQN do município    </t>
    </r>
    <r>
      <rPr>
        <b/>
        <sz val="10"/>
        <color indexed="8"/>
        <rFont val="Arial1"/>
        <family val="0"/>
      </rPr>
      <t>(12)</t>
    </r>
  </si>
  <si>
    <t>Pedreiro</t>
  </si>
  <si>
    <t>ISSQN 5%</t>
  </si>
  <si>
    <t>Valor da Hora (Preço mensal / 220 horas)</t>
  </si>
  <si>
    <r>
      <t xml:space="preserve">Salário do Pintor  </t>
    </r>
    <r>
      <rPr>
        <b/>
        <sz val="10"/>
        <color indexed="8"/>
        <rFont val="Arial1"/>
        <family val="0"/>
      </rPr>
      <t>(1)</t>
    </r>
  </si>
  <si>
    <t>Pintor</t>
  </si>
  <si>
    <t>FATOR K</t>
  </si>
  <si>
    <r>
      <t xml:space="preserve">Salário do Marceneiro  </t>
    </r>
    <r>
      <rPr>
        <b/>
        <sz val="10"/>
        <color indexed="8"/>
        <rFont val="Arial1"/>
        <family val="0"/>
      </rPr>
      <t>(1)</t>
    </r>
  </si>
  <si>
    <t>Marceneiro</t>
  </si>
  <si>
    <r>
      <t xml:space="preserve">Salário do Serralheiro </t>
    </r>
    <r>
      <rPr>
        <b/>
        <sz val="10"/>
        <color indexed="8"/>
        <rFont val="Arial1"/>
        <family val="0"/>
      </rPr>
      <t>(1)</t>
    </r>
  </si>
  <si>
    <t>Serralheiro</t>
  </si>
  <si>
    <r>
      <t xml:space="preserve">Salário do Ajudante de Serviços Gerais  </t>
    </r>
    <r>
      <rPr>
        <b/>
        <sz val="10"/>
        <color indexed="8"/>
        <rFont val="Arial1"/>
        <family val="0"/>
      </rPr>
      <t>(1)</t>
    </r>
  </si>
  <si>
    <t>Ajudante Serviços Gerais</t>
  </si>
  <si>
    <t>PROFISSIONAIS REQUISITADOS POR DEMANDA</t>
  </si>
  <si>
    <t>EFETIVO</t>
  </si>
  <si>
    <t>VALOR HORA</t>
  </si>
  <si>
    <t>QUANTIDADE HORAS ESTIMADA</t>
  </si>
  <si>
    <t>TOTAL</t>
  </si>
  <si>
    <t>Vidraceiro</t>
  </si>
  <si>
    <t xml:space="preserve">TOTAL GERAL </t>
  </si>
  <si>
    <t>PROFISSIONAIS RESIDENTES</t>
  </si>
  <si>
    <t>VALOR MENSAL</t>
  </si>
  <si>
    <t xml:space="preserve">VALOR TOTAL ANUAL </t>
  </si>
  <si>
    <t>Técnico Eletricista de Manutenção Predial – Sênior</t>
  </si>
  <si>
    <t>Auxiliar de Eletricista de Manutenção Predial</t>
  </si>
  <si>
    <t>Técnico em Instalações Hidrossanitárias Prediais – Sênior</t>
  </si>
  <si>
    <t>Artífice em Manutenção Geral</t>
  </si>
  <si>
    <t xml:space="preserve">Técnico de Telefonia e Rede </t>
  </si>
  <si>
    <t>Auxiliar de Telefonia e Rede</t>
  </si>
  <si>
    <t xml:space="preserve">Técnico em mecânica de refrigeração (ar-condicionado central) </t>
  </si>
  <si>
    <t xml:space="preserve">Técnico em mecânica de refrigeração (climatizadores) </t>
  </si>
  <si>
    <t xml:space="preserve">Auxiliar de mecânico </t>
  </si>
  <si>
    <t>Técnico de Automação</t>
  </si>
  <si>
    <t xml:space="preserve">PROFISSIONAIS SUPERVISÃO RESIDENTES </t>
  </si>
  <si>
    <t xml:space="preserve">Supervisor Técnico / Encarregado </t>
  </si>
  <si>
    <t>Auxiliar de encarregado</t>
  </si>
  <si>
    <t xml:space="preserve">PROFISSIONAIS RESPONSABILIDADE TÉCNICA </t>
  </si>
  <si>
    <t xml:space="preserve">Profissional com habilitação reconhecida pelo CREA em engenharia civil ou em engenharia elétrica </t>
  </si>
  <si>
    <t>Profissional com habilitação reconhecida pelo CREA em engenharia mecânica</t>
  </si>
  <si>
    <t>RESUMO GERAL</t>
  </si>
  <si>
    <t>PROFISSIONAIS</t>
  </si>
  <si>
    <t xml:space="preserve">VALOR MENSAL </t>
  </si>
  <si>
    <t xml:space="preserve">VALOR TOTAL </t>
  </si>
  <si>
    <t>MÃO OBRA RESIDENTE</t>
  </si>
  <si>
    <t xml:space="preserve">PROFISSIONAIS SUPERVISÃO </t>
  </si>
  <si>
    <t>PROFISSIONAIS RESPONS. TÉCNICA</t>
  </si>
  <si>
    <t>PROFISSIONAIS POR DEMANDA</t>
  </si>
  <si>
    <t xml:space="preserve"> - </t>
  </si>
  <si>
    <t>VALOR GLOBAL DO CONTRATO</t>
  </si>
  <si>
    <t>EPI</t>
  </si>
  <si>
    <r>
      <t xml:space="preserve">Fornecimento de material e equipamentos </t>
    </r>
    <r>
      <rPr>
        <b/>
        <sz val="10"/>
        <rFont val="Arial"/>
        <family val="2"/>
      </rPr>
      <t xml:space="preserve"> (9)</t>
    </r>
  </si>
  <si>
    <t>Fornecimento de material e equipamentos</t>
  </si>
  <si>
    <r>
      <t>Fornecimento de material e equipamentos</t>
    </r>
    <r>
      <rPr>
        <b/>
        <sz val="10"/>
        <rFont val="Arial"/>
        <family val="2"/>
      </rPr>
      <t xml:space="preserve"> (9)</t>
    </r>
  </si>
  <si>
    <r>
      <t>Fornecimento de material e equipamentos</t>
    </r>
    <r>
      <rPr>
        <b/>
        <sz val="10"/>
        <rFont val="Arial"/>
        <family val="2"/>
      </rPr>
      <t>(9)</t>
    </r>
  </si>
  <si>
    <r>
      <t>Fornecimento de materiale e equipamentos</t>
    </r>
    <r>
      <rPr>
        <b/>
        <sz val="10"/>
        <rFont val="Arial"/>
        <family val="2"/>
      </rPr>
      <t xml:space="preserve"> (9)</t>
    </r>
  </si>
  <si>
    <t>VALOR HORA EXTRA  (VLR. HORA + 50%)</t>
  </si>
  <si>
    <t>VALOR HORA (faturamento/220h)</t>
  </si>
  <si>
    <t xml:space="preserve">Auxiliar de serviços gerais </t>
  </si>
  <si>
    <t>Fornecimento materiais alugado</t>
  </si>
  <si>
    <t>Outros custos por empregado (especificar) (8)</t>
  </si>
  <si>
    <r>
      <t xml:space="preserve">Salário do Vidraceiro </t>
    </r>
    <r>
      <rPr>
        <b/>
        <sz val="10"/>
        <color indexed="8"/>
        <rFont val="Arial1"/>
        <family val="0"/>
      </rPr>
      <t>(1)</t>
    </r>
  </si>
  <si>
    <t>DATA BASE DA CATEGORIA(dia/mês/ano): 01/01/2014</t>
  </si>
  <si>
    <t>DATA BASE DA CATEGORIA(dia/mês/ano): 01/05/2013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</si>
</sst>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);\(0\)"/>
    <numFmt numFmtId="165" formatCode="&quot;R$ &quot;#,##0.00;[Red]&quot;R$ &quot;#,##0.00"/>
    <numFmt numFmtId="166" formatCode="0\ ;\(0\)"/>
    <numFmt numFmtId="167" formatCode="[$R$-416]\ #,##0.00;[Red]\-[$R$-416]\ #,##0.00"/>
    <numFmt numFmtId="168" formatCode="&quot;R$ &quot;#,##0.00"/>
    <numFmt numFmtId="169" formatCode="&quot;R$&quot;\ #,##0.00;[Red]&quot;R$&quot;\ #,##0.00"/>
    <numFmt numFmtId="170" formatCode="#,##0.00;[Red]#,##0.00"/>
  </numFmts>
  <fonts count="59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9"/>
      <color indexed="8"/>
      <name val="Arial1"/>
      <family val="0"/>
    </font>
    <font>
      <b/>
      <sz val="12"/>
      <color indexed="8"/>
      <name val="Arial1"/>
      <family val="0"/>
    </font>
    <font>
      <b/>
      <sz val="9"/>
      <color indexed="8"/>
      <name val="Arial1"/>
      <family val="0"/>
    </font>
    <font>
      <b/>
      <sz val="8"/>
      <color indexed="8"/>
      <name val="Arial"/>
      <family val="1"/>
    </font>
    <font>
      <sz val="8"/>
      <color indexed="8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43" fontId="0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11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center" vertical="top" wrapText="1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39" fontId="0" fillId="0" borderId="18" xfId="0" applyNumberFormat="1" applyFont="1" applyBorder="1" applyAlignment="1" applyProtection="1">
      <alignment horizontal="center"/>
      <protection locked="0"/>
    </xf>
    <xf numFmtId="39" fontId="0" fillId="0" borderId="19" xfId="0" applyNumberFormat="1" applyFont="1" applyBorder="1" applyAlignment="1" applyProtection="1">
      <alignment horizontal="center"/>
      <protection locked="0"/>
    </xf>
    <xf numFmtId="39" fontId="0" fillId="0" borderId="15" xfId="0" applyNumberFormat="1" applyFont="1" applyBorder="1" applyAlignment="1" applyProtection="1">
      <alignment horizontal="center"/>
      <protection locked="0"/>
    </xf>
    <xf numFmtId="4" fontId="0" fillId="34" borderId="16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3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39" fontId="7" fillId="33" borderId="0" xfId="0" applyNumberFormat="1" applyFont="1" applyFill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39" fontId="3" fillId="33" borderId="0" xfId="0" applyNumberFormat="1" applyFont="1" applyFill="1" applyAlignment="1" applyProtection="1">
      <alignment/>
      <protection/>
    </xf>
    <xf numFmtId="39" fontId="0" fillId="0" borderId="21" xfId="0" applyNumberFormat="1" applyFont="1" applyBorder="1" applyAlignment="1" applyProtection="1">
      <alignment vertical="center" wrapText="1"/>
      <protection/>
    </xf>
    <xf numFmtId="39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4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39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37" fontId="0" fillId="0" borderId="24" xfId="0" applyNumberFormat="1" applyFont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4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/>
    </xf>
    <xf numFmtId="39" fontId="0" fillId="0" borderId="26" xfId="0" applyNumberFormat="1" applyFont="1" applyBorder="1" applyAlignment="1" applyProtection="1">
      <alignment horizontal="center" vertical="center" wrapText="1"/>
      <protection/>
    </xf>
    <xf numFmtId="39" fontId="0" fillId="0" borderId="23" xfId="0" applyNumberFormat="1" applyFont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Alignment="1" applyProtection="1">
      <alignment/>
      <protection/>
    </xf>
    <xf numFmtId="39" fontId="4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/>
      <protection/>
    </xf>
    <xf numFmtId="39" fontId="0" fillId="0" borderId="29" xfId="0" applyNumberFormat="1" applyFont="1" applyBorder="1" applyAlignment="1" applyProtection="1">
      <alignment horizontal="center" vertical="center" wrapText="1"/>
      <protection/>
    </xf>
    <xf numFmtId="39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39" fontId="0" fillId="0" borderId="26" xfId="0" applyNumberFormat="1" applyFont="1" applyFill="1" applyBorder="1" applyAlignment="1" applyProtection="1">
      <alignment horizontal="center" vertical="center" wrapText="1"/>
      <protection/>
    </xf>
    <xf numFmtId="3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39" fontId="0" fillId="0" borderId="30" xfId="0" applyNumberFormat="1" applyFont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/>
      <protection/>
    </xf>
    <xf numFmtId="39" fontId="0" fillId="0" borderId="23" xfId="0" applyNumberFormat="1" applyFont="1" applyBorder="1" applyAlignment="1" applyProtection="1">
      <alignment horizontal="left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39" fontId="4" fillId="35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9" fontId="0" fillId="0" borderId="31" xfId="0" applyNumberFormat="1" applyFont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32" xfId="0" applyFont="1" applyFill="1" applyBorder="1" applyAlignment="1" applyProtection="1">
      <alignment horizontal="justify"/>
      <protection/>
    </xf>
    <xf numFmtId="0" fontId="0" fillId="33" borderId="33" xfId="0" applyFont="1" applyFill="1" applyBorder="1" applyAlignment="1" applyProtection="1">
      <alignment horizontal="justify"/>
      <protection/>
    </xf>
    <xf numFmtId="0" fontId="4" fillId="33" borderId="32" xfId="0" applyFont="1" applyFill="1" applyBorder="1" applyAlignment="1" applyProtection="1">
      <alignment wrapText="1"/>
      <protection/>
    </xf>
    <xf numFmtId="0" fontId="4" fillId="33" borderId="33" xfId="0" applyFont="1" applyFill="1" applyBorder="1" applyAlignment="1" applyProtection="1">
      <alignment wrapText="1"/>
      <protection/>
    </xf>
    <xf numFmtId="4" fontId="0" fillId="34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4" fillId="0" borderId="11" xfId="0" applyFont="1" applyBorder="1" applyAlignment="1" applyProtection="1">
      <alignment/>
      <protection locked="0"/>
    </xf>
    <xf numFmtId="4" fontId="14" fillId="0" borderId="12" xfId="0" applyNumberFormat="1" applyFont="1" applyBorder="1" applyAlignment="1" applyProtection="1">
      <alignment horizontal="center" vertical="top" wrapText="1"/>
      <protection locked="0"/>
    </xf>
    <xf numFmtId="1" fontId="14" fillId="0" borderId="1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/>
      <protection locked="0"/>
    </xf>
    <xf numFmtId="3" fontId="14" fillId="0" borderId="15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4" fontId="14" fillId="0" borderId="16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/>
      <protection locked="0"/>
    </xf>
    <xf numFmtId="39" fontId="14" fillId="0" borderId="18" xfId="0" applyNumberFormat="1" applyFont="1" applyBorder="1" applyAlignment="1" applyProtection="1">
      <alignment horizontal="center"/>
      <protection locked="0"/>
    </xf>
    <xf numFmtId="39" fontId="14" fillId="0" borderId="19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166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vertical="center" wrapText="1"/>
      <protection locked="0"/>
    </xf>
    <xf numFmtId="39" fontId="1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/>
      <protection/>
    </xf>
    <xf numFmtId="39" fontId="17" fillId="33" borderId="0" xfId="0" applyNumberFormat="1" applyFont="1" applyFill="1" applyAlignment="1" applyProtection="1">
      <alignment horizontal="right"/>
      <protection/>
    </xf>
    <xf numFmtId="39" fontId="12" fillId="33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35" borderId="31" xfId="0" applyFont="1" applyFill="1" applyBorder="1" applyAlignment="1" applyProtection="1">
      <alignment horizontal="center" vertical="center" wrapText="1"/>
      <protection/>
    </xf>
    <xf numFmtId="39" fontId="13" fillId="35" borderId="31" xfId="0" applyNumberFormat="1" applyFont="1" applyFill="1" applyBorder="1" applyAlignment="1" applyProtection="1">
      <alignment horizontal="center" vertical="center" wrapText="1"/>
      <protection/>
    </xf>
    <xf numFmtId="0" fontId="13" fillId="33" borderId="25" xfId="0" applyFont="1" applyFill="1" applyBorder="1" applyAlignment="1" applyProtection="1">
      <alignment/>
      <protection/>
    </xf>
    <xf numFmtId="167" fontId="13" fillId="33" borderId="25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Alignment="1" applyProtection="1">
      <alignment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39" fontId="13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165" fontId="0" fillId="0" borderId="37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9" fontId="0" fillId="0" borderId="13" xfId="0" applyNumberFormat="1" applyBorder="1" applyAlignment="1">
      <alignment vertical="center" wrapText="1"/>
    </xf>
    <xf numFmtId="165" fontId="0" fillId="0" borderId="13" xfId="0" applyNumberFormat="1" applyBorder="1" applyAlignment="1">
      <alignment vertical="center" wrapText="1"/>
    </xf>
    <xf numFmtId="39" fontId="0" fillId="0" borderId="38" xfId="0" applyNumberFormat="1" applyBorder="1" applyAlignment="1">
      <alignment vertical="center" wrapText="1"/>
    </xf>
    <xf numFmtId="39" fontId="4" fillId="0" borderId="13" xfId="0" applyNumberFormat="1" applyFont="1" applyBorder="1" applyAlignment="1">
      <alignment vertical="center" wrapText="1"/>
    </xf>
    <xf numFmtId="165" fontId="4" fillId="0" borderId="37" xfId="0" applyNumberFormat="1" applyFont="1" applyBorder="1" applyAlignment="1">
      <alignment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165" fontId="0" fillId="0" borderId="38" xfId="0" applyNumberForma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4" fontId="0" fillId="36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3" fontId="0" fillId="0" borderId="40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39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/>
      <protection/>
    </xf>
    <xf numFmtId="169" fontId="0" fillId="33" borderId="41" xfId="0" applyNumberFormat="1" applyFont="1" applyFill="1" applyBorder="1" applyAlignment="1" applyProtection="1">
      <alignment horizontal="center"/>
      <protection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39" fontId="4" fillId="37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vertical="center" wrapText="1"/>
      <protection locked="0"/>
    </xf>
    <xf numFmtId="4" fontId="0" fillId="36" borderId="30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4" fontId="0" fillId="38" borderId="16" xfId="0" applyNumberFormat="1" applyFont="1" applyFill="1" applyBorder="1" applyAlignment="1" applyProtection="1">
      <alignment horizontal="center"/>
      <protection locked="0"/>
    </xf>
    <xf numFmtId="39" fontId="0" fillId="38" borderId="18" xfId="0" applyNumberFormat="1" applyFont="1" applyFill="1" applyBorder="1" applyAlignment="1" applyProtection="1">
      <alignment horizontal="center"/>
      <protection locked="0"/>
    </xf>
    <xf numFmtId="39" fontId="0" fillId="38" borderId="19" xfId="0" applyNumberFormat="1" applyFont="1" applyFill="1" applyBorder="1" applyAlignment="1" applyProtection="1">
      <alignment horizontal="center"/>
      <protection locked="0"/>
    </xf>
    <xf numFmtId="4" fontId="14" fillId="36" borderId="16" xfId="0" applyNumberFormat="1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justify"/>
      <protection/>
    </xf>
    <xf numFmtId="0" fontId="4" fillId="33" borderId="43" xfId="0" applyFont="1" applyFill="1" applyBorder="1" applyAlignment="1" applyProtection="1">
      <alignment horizontal="left" wrapText="1"/>
      <protection/>
    </xf>
    <xf numFmtId="0" fontId="4" fillId="33" borderId="44" xfId="0" applyFont="1" applyFill="1" applyBorder="1" applyAlignment="1" applyProtection="1">
      <alignment horizontal="justify" wrapText="1"/>
      <protection/>
    </xf>
    <xf numFmtId="0" fontId="4" fillId="39" borderId="25" xfId="0" applyFont="1" applyFill="1" applyBorder="1" applyAlignment="1" applyProtection="1">
      <alignment horizontal="center" vertical="center" wrapText="1"/>
      <protection/>
    </xf>
    <xf numFmtId="0" fontId="9" fillId="33" borderId="43" xfId="0" applyFont="1" applyFill="1" applyBorder="1" applyAlignment="1" applyProtection="1">
      <alignment horizontal="left" wrapText="1"/>
      <protection/>
    </xf>
    <xf numFmtId="0" fontId="4" fillId="40" borderId="25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left" wrapText="1"/>
      <protection/>
    </xf>
    <xf numFmtId="0" fontId="4" fillId="33" borderId="32" xfId="0" applyFont="1" applyFill="1" applyBorder="1" applyAlignment="1" applyProtection="1">
      <alignment horizontal="justify"/>
      <protection/>
    </xf>
    <xf numFmtId="0" fontId="4" fillId="33" borderId="33" xfId="0" applyFont="1" applyFill="1" applyBorder="1" applyAlignment="1" applyProtection="1">
      <alignment horizontal="justify"/>
      <protection/>
    </xf>
    <xf numFmtId="0" fontId="4" fillId="33" borderId="32" xfId="0" applyFont="1" applyFill="1" applyBorder="1" applyAlignment="1" applyProtection="1">
      <alignment horizontal="left" wrapText="1"/>
      <protection/>
    </xf>
    <xf numFmtId="0" fontId="4" fillId="33" borderId="33" xfId="0" applyFont="1" applyFill="1" applyBorder="1" applyAlignment="1" applyProtection="1">
      <alignment horizontal="left" wrapText="1"/>
      <protection/>
    </xf>
    <xf numFmtId="0" fontId="4" fillId="33" borderId="32" xfId="0" applyFont="1" applyFill="1" applyBorder="1" applyAlignment="1" applyProtection="1">
      <alignment horizontal="justify" wrapText="1"/>
      <protection/>
    </xf>
    <xf numFmtId="0" fontId="4" fillId="33" borderId="33" xfId="0" applyFont="1" applyFill="1" applyBorder="1" applyAlignment="1" applyProtection="1">
      <alignment horizontal="justify" wrapText="1"/>
      <protection/>
    </xf>
    <xf numFmtId="0" fontId="4" fillId="33" borderId="47" xfId="0" applyFont="1" applyFill="1" applyBorder="1" applyAlignment="1" applyProtection="1">
      <alignment horizontal="justify" wrapText="1"/>
      <protection/>
    </xf>
    <xf numFmtId="0" fontId="4" fillId="33" borderId="48" xfId="0" applyFont="1" applyFill="1" applyBorder="1" applyAlignment="1" applyProtection="1">
      <alignment horizontal="justify" wrapText="1"/>
      <protection/>
    </xf>
    <xf numFmtId="0" fontId="4" fillId="39" borderId="46" xfId="0" applyFont="1" applyFill="1" applyBorder="1" applyAlignment="1" applyProtection="1">
      <alignment horizontal="center" vertical="center" wrapText="1"/>
      <protection/>
    </xf>
    <xf numFmtId="0" fontId="4" fillId="39" borderId="31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left" wrapText="1"/>
      <protection/>
    </xf>
    <xf numFmtId="0" fontId="9" fillId="33" borderId="35" xfId="0" applyFont="1" applyFill="1" applyBorder="1" applyAlignment="1" applyProtection="1">
      <alignment horizontal="left" wrapText="1"/>
      <protection/>
    </xf>
    <xf numFmtId="0" fontId="4" fillId="40" borderId="49" xfId="0" applyFont="1" applyFill="1" applyBorder="1" applyAlignment="1" applyProtection="1">
      <alignment horizontal="center" vertical="center" wrapText="1"/>
      <protection locked="0"/>
    </xf>
    <xf numFmtId="0" fontId="4" fillId="40" borderId="2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13" fillId="40" borderId="25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4" fontId="0" fillId="36" borderId="12" xfId="0" applyNumberFormat="1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view="pageBreakPreview" zoomScale="90" zoomScaleNormal="90" zoomScaleSheetLayoutView="90" zoomScalePageLayoutView="0" workbookViewId="0" topLeftCell="A13">
      <selection activeCell="B58" sqref="B58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2</v>
      </c>
      <c r="C5" s="3">
        <v>1556.94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36.63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153</v>
      </c>
      <c r="C17" s="121">
        <v>96.83</v>
      </c>
    </row>
    <row r="18" spans="2:3" ht="15.75" customHeight="1">
      <c r="B18" s="132" t="s">
        <v>159</v>
      </c>
      <c r="C18" s="133">
        <v>6.67</v>
      </c>
    </row>
    <row r="19" spans="2:3" ht="15.75" customHeight="1">
      <c r="B19" s="148" t="s">
        <v>14</v>
      </c>
      <c r="C19" s="148"/>
    </row>
    <row r="20" spans="2:3" ht="15.75" customHeight="1">
      <c r="B20" s="14" t="s">
        <v>15</v>
      </c>
      <c r="C20" s="15">
        <v>5</v>
      </c>
    </row>
    <row r="21" spans="2:3" ht="15.75" customHeight="1">
      <c r="B21" s="16"/>
      <c r="C21" s="17"/>
    </row>
    <row r="22" s="18" customFormat="1" ht="15.75" customHeight="1">
      <c r="B22" s="19" t="s">
        <v>16</v>
      </c>
    </row>
    <row r="23" spans="2:3" s="18" customFormat="1" ht="15.75" customHeight="1">
      <c r="B23" s="19" t="s">
        <v>17</v>
      </c>
      <c r="C23" s="20" t="s">
        <v>18</v>
      </c>
    </row>
    <row r="24" spans="2:3" s="18" customFormat="1" ht="15.75" customHeight="1">
      <c r="B24" s="21"/>
      <c r="C24" s="22"/>
    </row>
    <row r="25" spans="2:3" s="18" customFormat="1" ht="15.75" customHeight="1">
      <c r="B25" s="143" t="s">
        <v>19</v>
      </c>
      <c r="C25" s="143" t="s">
        <v>20</v>
      </c>
    </row>
    <row r="26" spans="2:3" s="18" customFormat="1" ht="15.75" customHeight="1">
      <c r="B26" s="143"/>
      <c r="C26" s="143"/>
    </row>
    <row r="27" spans="2:3" s="18" customFormat="1" ht="15.75" customHeight="1">
      <c r="B27" s="23" t="s">
        <v>21</v>
      </c>
      <c r="C27" s="24"/>
    </row>
    <row r="28" spans="2:3" s="25" customFormat="1" ht="15.75" customHeight="1">
      <c r="B28" s="26" t="s">
        <v>22</v>
      </c>
      <c r="C28" s="27">
        <f>C5</f>
        <v>1556.94</v>
      </c>
    </row>
    <row r="29" spans="2:3" s="25" customFormat="1" ht="15.75" customHeight="1">
      <c r="B29" s="26" t="s">
        <v>23</v>
      </c>
      <c r="C29" s="27">
        <f>C5*C6%</f>
        <v>0</v>
      </c>
    </row>
    <row r="30" spans="2:3" s="25" customFormat="1" ht="15.75" customHeight="1">
      <c r="B30" s="28" t="s">
        <v>24</v>
      </c>
      <c r="C30" s="29">
        <f>+C5*C7%</f>
        <v>0</v>
      </c>
    </row>
    <row r="31" spans="2:3" s="18" customFormat="1" ht="15.75" customHeight="1">
      <c r="B31" s="30" t="s">
        <v>25</v>
      </c>
      <c r="C31" s="31">
        <f>SUM(C28:C30)*0.7211</f>
        <v>1122.7094339999999</v>
      </c>
    </row>
    <row r="32" spans="2:3" s="18" customFormat="1" ht="15.75" customHeight="1">
      <c r="B32" s="32" t="s">
        <v>26</v>
      </c>
      <c r="C32" s="33">
        <f>C8</f>
        <v>1</v>
      </c>
    </row>
    <row r="33" spans="2:3" s="18" customFormat="1" ht="15.75" customHeight="1">
      <c r="B33" s="34" t="s">
        <v>27</v>
      </c>
      <c r="C33" s="35">
        <f>SUM(C28:C31)</f>
        <v>2679.649434</v>
      </c>
    </row>
    <row r="34" spans="2:3" s="18" customFormat="1" ht="15.75" customHeight="1">
      <c r="B34" s="36" t="s">
        <v>28</v>
      </c>
      <c r="C34" s="27"/>
    </row>
    <row r="35" spans="2:3" s="18" customFormat="1" ht="15.75" customHeight="1">
      <c r="B35" s="28" t="s">
        <v>29</v>
      </c>
      <c r="C35" s="27">
        <f>C10</f>
        <v>20</v>
      </c>
    </row>
    <row r="36" spans="2:3" s="18" customFormat="1" ht="15.75" customHeight="1">
      <c r="B36" s="28" t="s">
        <v>150</v>
      </c>
      <c r="C36" s="27">
        <f>C11</f>
        <v>36.63</v>
      </c>
    </row>
    <row r="37" spans="2:3" s="18" customFormat="1" ht="15.75" customHeight="1">
      <c r="B37" s="30" t="s">
        <v>30</v>
      </c>
      <c r="C37" s="31">
        <f>(($C$12*22)-(C28*0.06))</f>
        <v>38.583600000000004</v>
      </c>
    </row>
    <row r="38" spans="2:3" s="18" customFormat="1" ht="15.75" customHeight="1">
      <c r="B38" s="30" t="s">
        <v>31</v>
      </c>
      <c r="C38" s="37">
        <f>$C$13*22</f>
        <v>440</v>
      </c>
    </row>
    <row r="39" spans="2:3" s="18" customFormat="1" ht="15.75" customHeight="1">
      <c r="B39" s="30" t="s">
        <v>32</v>
      </c>
      <c r="C39" s="31">
        <f>+C14</f>
        <v>4.5</v>
      </c>
    </row>
    <row r="40" spans="2:4" s="18" customFormat="1" ht="15.75" customHeight="1">
      <c r="B40" s="32" t="s">
        <v>33</v>
      </c>
      <c r="C40" s="38">
        <f>C15</f>
        <v>0</v>
      </c>
      <c r="D40" s="39"/>
    </row>
    <row r="41" spans="2:4" s="18" customFormat="1" ht="15.75" customHeight="1">
      <c r="B41" s="34" t="s">
        <v>34</v>
      </c>
      <c r="C41" s="40">
        <f>SUM(C35:C40)</f>
        <v>539.7136</v>
      </c>
      <c r="D41" s="39"/>
    </row>
    <row r="42" spans="2:4" s="18" customFormat="1" ht="15.75" customHeight="1">
      <c r="B42" s="36" t="s">
        <v>35</v>
      </c>
      <c r="C42" s="27"/>
      <c r="D42" s="39"/>
    </row>
    <row r="43" spans="2:4" s="18" customFormat="1" ht="15.75" customHeight="1">
      <c r="B43" s="41" t="s">
        <v>152</v>
      </c>
      <c r="C43" s="42">
        <f>+C17</f>
        <v>96.83</v>
      </c>
      <c r="D43" s="39"/>
    </row>
    <row r="44" spans="2:4" s="18" customFormat="1" ht="15.75" customHeight="1">
      <c r="B44" s="41" t="s">
        <v>159</v>
      </c>
      <c r="C44" s="42">
        <f>C18</f>
        <v>6.67</v>
      </c>
      <c r="D44" s="39"/>
    </row>
    <row r="45" spans="1:12" s="44" customFormat="1" ht="15.75" customHeight="1">
      <c r="A45" s="18"/>
      <c r="B45" s="34" t="s">
        <v>37</v>
      </c>
      <c r="C45" s="43">
        <f>SUM(C43,C44)</f>
        <v>103.5</v>
      </c>
      <c r="D45" s="39"/>
      <c r="E45" s="18"/>
      <c r="F45" s="18"/>
      <c r="G45" s="18"/>
      <c r="H45" s="18"/>
      <c r="I45" s="18"/>
      <c r="J45" s="18"/>
      <c r="K45" s="18"/>
      <c r="L45" s="18"/>
    </row>
    <row r="46" spans="1:12" s="44" customFormat="1" ht="15.75" customHeight="1">
      <c r="A46" s="18"/>
      <c r="B46" s="45" t="s">
        <v>38</v>
      </c>
      <c r="C46" s="46"/>
      <c r="D46" s="39"/>
      <c r="E46" s="18"/>
      <c r="F46" s="18"/>
      <c r="G46" s="18"/>
      <c r="H46" s="18"/>
      <c r="I46" s="18"/>
      <c r="J46" s="18"/>
      <c r="K46" s="18"/>
      <c r="L46" s="18"/>
    </row>
    <row r="47" spans="2:13" s="44" customFormat="1" ht="15.75" customHeight="1">
      <c r="B47" s="30" t="s">
        <v>39</v>
      </c>
      <c r="C47" s="47">
        <f>(SUM($C$33+$C$41+$C$45))*5.31%</f>
        <v>176.44402710539998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s="18" customFormat="1" ht="15.75" customHeight="1">
      <c r="B48" s="32" t="s">
        <v>40</v>
      </c>
      <c r="C48" s="48">
        <f>(SUM($C$33+$C$41+$C$45+C47))*7.2%</f>
        <v>251.95010839958883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s="18" customFormat="1" ht="15.75" customHeight="1">
      <c r="B49" s="34" t="s">
        <v>41</v>
      </c>
      <c r="C49" s="40">
        <f>SUM(C47:C48)</f>
        <v>428.3941355049888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3" s="18" customFormat="1" ht="15.75" customHeight="1">
      <c r="B50" s="49" t="s">
        <v>42</v>
      </c>
      <c r="C50" s="50"/>
    </row>
    <row r="51" spans="2:3" s="18" customFormat="1" ht="15.75" customHeight="1">
      <c r="B51" s="28" t="s">
        <v>43</v>
      </c>
      <c r="C51" s="27">
        <f>$C$56*0.65%</f>
        <v>26.692032404797402</v>
      </c>
    </row>
    <row r="52" spans="2:4" s="18" customFormat="1" ht="15.75" customHeight="1">
      <c r="B52" s="30" t="s">
        <v>44</v>
      </c>
      <c r="C52" s="31">
        <f>$C$56*3%</f>
        <v>123.19399571444953</v>
      </c>
      <c r="D52" s="51" t="s">
        <v>45</v>
      </c>
    </row>
    <row r="53" spans="2:4" s="18" customFormat="1" ht="15.75" customHeight="1">
      <c r="B53" s="52" t="str">
        <f>(D52&amp;C20&amp;D53)</f>
        <v>ISSQN - 5 %</v>
      </c>
      <c r="C53" s="38">
        <f>$C$20%*C56</f>
        <v>205.32332619074924</v>
      </c>
      <c r="D53" s="51" t="s">
        <v>46</v>
      </c>
    </row>
    <row r="54" spans="2:5" s="18" customFormat="1" ht="15.75" customHeight="1">
      <c r="B54" s="34" t="s">
        <v>47</v>
      </c>
      <c r="C54" s="40">
        <f>SUM(C51:C53)</f>
        <v>355.2093543099962</v>
      </c>
      <c r="D54" s="25"/>
      <c r="E54" s="25"/>
    </row>
    <row r="55" spans="2:5" s="18" customFormat="1" ht="15.75" customHeight="1">
      <c r="B55" s="53" t="s">
        <v>48</v>
      </c>
      <c r="C55" s="54">
        <f>SUM(C41,C45,C49,C54)</f>
        <v>1426.817089814985</v>
      </c>
      <c r="E55" s="25"/>
    </row>
    <row r="56" spans="2:3" s="18" customFormat="1" ht="15.75" customHeight="1">
      <c r="B56" s="55" t="s">
        <v>49</v>
      </c>
      <c r="C56" s="56">
        <f>SUM(C33,C41,C45,C49)/((100-(3.65+$C$20))/100)</f>
        <v>4106.466523814985</v>
      </c>
    </row>
    <row r="57" spans="2:5" s="18" customFormat="1" ht="15.75" customHeight="1">
      <c r="B57" s="126" t="s">
        <v>50</v>
      </c>
      <c r="C57" s="127">
        <f>(C32*C56)</f>
        <v>4106.466523814985</v>
      </c>
      <c r="E57" s="25"/>
    </row>
    <row r="58" spans="2:5" s="18" customFormat="1" ht="15.75" customHeight="1">
      <c r="B58" s="130"/>
      <c r="C58" s="131">
        <f>C33+C49+C54</f>
        <v>3463.252923814985</v>
      </c>
      <c r="E58" s="25"/>
    </row>
    <row r="59" spans="2:3" s="18" customFormat="1" ht="15.75" customHeight="1">
      <c r="B59" s="128" t="s">
        <v>157</v>
      </c>
      <c r="C59" s="129">
        <f>C58/220</f>
        <v>15.74205874461357</v>
      </c>
    </row>
    <row r="60" spans="2:3" s="18" customFormat="1" ht="15.75" customHeight="1">
      <c r="B60" s="128" t="s">
        <v>156</v>
      </c>
      <c r="C60" s="129">
        <f>C59*1.5</f>
        <v>23.613088116920352</v>
      </c>
    </row>
    <row r="61" spans="2:12" s="58" customFormat="1" ht="15.75" customHeight="1">
      <c r="B61" s="144" t="s">
        <v>51</v>
      </c>
      <c r="C61" s="144"/>
      <c r="D61" s="18"/>
      <c r="E61" s="18"/>
      <c r="F61" s="18"/>
      <c r="G61" s="18"/>
      <c r="H61" s="18"/>
      <c r="I61" s="18"/>
      <c r="J61" s="18"/>
      <c r="K61" s="18"/>
      <c r="L61" s="18"/>
    </row>
    <row r="62" spans="2:3" ht="15.75" customHeight="1">
      <c r="B62" s="59" t="s">
        <v>52</v>
      </c>
      <c r="C62" s="60"/>
    </row>
    <row r="63" spans="2:3" ht="15.75" customHeight="1">
      <c r="B63" s="141" t="s">
        <v>53</v>
      </c>
      <c r="C63" s="141"/>
    </row>
    <row r="64" spans="2:3" ht="15.75" customHeight="1">
      <c r="B64" s="141" t="s">
        <v>54</v>
      </c>
      <c r="C64" s="141"/>
    </row>
    <row r="65" spans="2:3" ht="15.75" customHeight="1">
      <c r="B65" s="141" t="s">
        <v>55</v>
      </c>
      <c r="C65" s="141"/>
    </row>
    <row r="66" spans="2:3" ht="15.75" customHeight="1">
      <c r="B66" s="140" t="s">
        <v>56</v>
      </c>
      <c r="C66" s="140"/>
    </row>
    <row r="67" spans="2:3" ht="15.75" customHeight="1">
      <c r="B67" s="59" t="s">
        <v>57</v>
      </c>
      <c r="C67" s="60"/>
    </row>
    <row r="68" spans="2:3" ht="15.75" customHeight="1">
      <c r="B68" s="59" t="s">
        <v>58</v>
      </c>
      <c r="C68" s="60"/>
    </row>
    <row r="69" spans="2:3" ht="15.75" customHeight="1">
      <c r="B69" s="61" t="s">
        <v>59</v>
      </c>
      <c r="C69" s="62"/>
    </row>
    <row r="70" spans="2:3" ht="15.75" customHeight="1">
      <c r="B70" s="140" t="s">
        <v>60</v>
      </c>
      <c r="C70" s="140"/>
    </row>
    <row r="71" spans="2:3" ht="15.75" customHeight="1">
      <c r="B71" s="59" t="s">
        <v>61</v>
      </c>
      <c r="C71" s="60"/>
    </row>
    <row r="72" spans="2:3" ht="15.75" customHeight="1">
      <c r="B72" s="141" t="s">
        <v>62</v>
      </c>
      <c r="C72" s="141"/>
    </row>
    <row r="73" spans="2:3" ht="6" customHeight="1">
      <c r="B73" s="142" t="s">
        <v>63</v>
      </c>
      <c r="C73" s="142"/>
    </row>
    <row r="74" spans="2:3" ht="6" customHeight="1">
      <c r="B74" s="142"/>
      <c r="C74" s="142"/>
    </row>
    <row r="75" spans="2:3" ht="15.75" customHeight="1">
      <c r="B75" s="142"/>
      <c r="C75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9:C19"/>
    <mergeCell ref="B66:C66"/>
    <mergeCell ref="B70:C70"/>
    <mergeCell ref="B72:C72"/>
    <mergeCell ref="B73:C75"/>
    <mergeCell ref="B25:B26"/>
    <mergeCell ref="C25:C26"/>
    <mergeCell ref="B61:C61"/>
    <mergeCell ref="B63:C63"/>
    <mergeCell ref="B64:C64"/>
    <mergeCell ref="B65:C65"/>
  </mergeCells>
  <printOptions/>
  <pageMargins left="0.5118055555555555" right="0.5118055555555555" top="0.7875" bottom="0.7875" header="0.5118055555555555" footer="0.5118055555555555"/>
  <pageSetup horizontalDpi="600" verticalDpi="600" orientation="portrait" paperSize="9" scale="63" r:id="rId3"/>
  <colBreaks count="1" manualBreakCount="1">
    <brk id="4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0" zoomScaleNormal="85" zoomScaleSheetLayoutView="90" zoomScalePageLayoutView="0" workbookViewId="0" topLeftCell="A16">
      <selection activeCell="D47" sqref="D47:D53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80</v>
      </c>
      <c r="C5" s="63">
        <v>1995.38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153</v>
      </c>
      <c r="C17" s="121">
        <v>104.21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81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1995.38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1438.868518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3434.2485180000003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</f>
        <v>12.277199999999993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490.2272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104.21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104.21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213.92321162579998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305.4678429330577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519.3910545588576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32.361794221820006</v>
      </c>
    </row>
    <row r="50" spans="2:4" s="18" customFormat="1" ht="15.75" customHeight="1">
      <c r="B50" s="30" t="s">
        <v>44</v>
      </c>
      <c r="C50" s="31">
        <f>$C$54*3%</f>
        <v>149.36212717763078</v>
      </c>
      <c r="D50" s="51"/>
    </row>
    <row r="51" spans="2:4" s="18" customFormat="1" ht="15.75" customHeight="1">
      <c r="B51" s="52" t="str">
        <f>(D50&amp;C19&amp;D51)</f>
        <v>5</v>
      </c>
      <c r="C51" s="38">
        <f>$C$19%*C54</f>
        <v>248.93687862938464</v>
      </c>
      <c r="D51" s="51"/>
    </row>
    <row r="52" spans="2:5" s="18" customFormat="1" ht="15.75" customHeight="1">
      <c r="B52" s="34" t="s">
        <v>47</v>
      </c>
      <c r="C52" s="40">
        <f>SUM(C49:C51)</f>
        <v>430.6608000288354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1544.489054587693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4978.737572587693</v>
      </c>
    </row>
    <row r="55" spans="2:5" s="18" customFormat="1" ht="15.75" customHeight="1">
      <c r="B55" s="53" t="s">
        <v>50</v>
      </c>
      <c r="C55" s="54">
        <f>(C31*C54)</f>
        <v>4978.737572587693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0" zoomScaleNormal="70" zoomScaleSheetLayoutView="90" zoomScalePageLayoutView="0" workbookViewId="0" topLeftCell="A28">
      <selection activeCell="B4" sqref="B4:C4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 thickBot="1">
      <c r="B2" s="162" t="s">
        <v>0</v>
      </c>
      <c r="C2" s="163"/>
    </row>
    <row r="3" spans="2:3" ht="15.75" customHeight="1" thickBot="1">
      <c r="B3" s="164" t="s">
        <v>1</v>
      </c>
      <c r="C3" s="165"/>
    </row>
    <row r="4" spans="2:3" ht="15.75" customHeight="1">
      <c r="B4" s="166" t="s">
        <v>162</v>
      </c>
      <c r="C4" s="167"/>
    </row>
    <row r="5" spans="2:3" ht="15.75" customHeight="1" thickBot="1">
      <c r="B5" s="2" t="s">
        <v>82</v>
      </c>
      <c r="C5" s="63">
        <v>2479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 thickBot="1">
      <c r="B8" s="5" t="s">
        <v>5</v>
      </c>
      <c r="C8" s="6">
        <v>1</v>
      </c>
    </row>
    <row r="9" spans="2:3" ht="15.75" customHeight="1">
      <c r="B9" s="166" t="s">
        <v>6</v>
      </c>
      <c r="C9" s="16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f>13.45</f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 thickBot="1">
      <c r="B15" s="5" t="s">
        <v>160</v>
      </c>
      <c r="C15" s="12">
        <v>0</v>
      </c>
    </row>
    <row r="16" spans="2:3" ht="15.75" customHeight="1">
      <c r="B16" s="166" t="s">
        <v>12</v>
      </c>
      <c r="C16" s="167"/>
    </row>
    <row r="17" spans="2:3" ht="15.75" customHeight="1" thickBot="1">
      <c r="B17" s="7" t="s">
        <v>151</v>
      </c>
      <c r="C17" s="121">
        <v>7.03</v>
      </c>
    </row>
    <row r="18" spans="2:3" ht="15.75" customHeight="1">
      <c r="B18" s="166" t="s">
        <v>14</v>
      </c>
      <c r="C18" s="167"/>
    </row>
    <row r="19" spans="2:3" ht="15.75" customHeight="1" thickBo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83</v>
      </c>
      <c r="C22" s="20" t="s">
        <v>18</v>
      </c>
    </row>
    <row r="23" spans="2:3" s="18" customFormat="1" ht="15.75" customHeight="1" thickBot="1">
      <c r="B23" s="21"/>
      <c r="C23" s="22"/>
    </row>
    <row r="24" spans="2:3" s="18" customFormat="1" ht="15.75" customHeight="1">
      <c r="B24" s="158" t="s">
        <v>19</v>
      </c>
      <c r="C24" s="158" t="s">
        <v>20</v>
      </c>
    </row>
    <row r="25" spans="2:3" s="18" customFormat="1" ht="15.75" customHeight="1" thickBot="1">
      <c r="B25" s="159"/>
      <c r="C25" s="159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2479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1787.6069</v>
      </c>
    </row>
    <row r="31" spans="2:3" s="18" customFormat="1" ht="15.75" customHeight="1" thickBot="1">
      <c r="B31" s="32" t="s">
        <v>26</v>
      </c>
      <c r="C31" s="33">
        <f>C8</f>
        <v>1</v>
      </c>
    </row>
    <row r="32" spans="2:3" s="18" customFormat="1" ht="15.75" customHeight="1" thickBot="1">
      <c r="B32" s="34" t="s">
        <v>27</v>
      </c>
      <c r="C32" s="35">
        <f>SUM(C27:C30)</f>
        <v>4266.6069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(($C$12*22)-(C27*0.06))*0</f>
        <v>0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 thickBot="1">
      <c r="B39" s="32" t="s">
        <v>33</v>
      </c>
      <c r="C39" s="38">
        <f>C15</f>
        <v>0</v>
      </c>
      <c r="D39" s="39"/>
    </row>
    <row r="40" spans="2:4" s="18" customFormat="1" ht="15.75" customHeight="1" thickBot="1">
      <c r="B40" s="34" t="s">
        <v>34</v>
      </c>
      <c r="C40" s="40">
        <f>SUM(C34:C39)</f>
        <v>477.95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 thickBot="1">
      <c r="B42" s="41" t="s">
        <v>152</v>
      </c>
      <c r="C42" s="42">
        <f>+C17</f>
        <v>7.03</v>
      </c>
      <c r="D42" s="39"/>
    </row>
    <row r="43" spans="1:12" s="44" customFormat="1" ht="15.75" customHeight="1" thickBot="1">
      <c r="A43" s="18"/>
      <c r="B43" s="34" t="s">
        <v>37</v>
      </c>
      <c r="C43" s="43">
        <f>SUM(C42)</f>
        <v>7.03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252.30926438999992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 thickBot="1">
      <c r="B46" s="32" t="s">
        <v>40</v>
      </c>
      <c r="C46" s="48">
        <f>(SUM($C$32+$C$40+$C$43+C45))*7.2%</f>
        <v>360.28052383607996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 thickBot="1">
      <c r="B47" s="34" t="s">
        <v>41</v>
      </c>
      <c r="C47" s="40">
        <f>SUM(C45:C46)</f>
        <v>612.5897882260799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38.168744908012606</v>
      </c>
    </row>
    <row r="50" spans="2:4" s="18" customFormat="1" ht="15.75" customHeight="1">
      <c r="B50" s="30" t="s">
        <v>44</v>
      </c>
      <c r="C50" s="31">
        <f>$C$54*3%</f>
        <v>176.16343803698123</v>
      </c>
      <c r="D50" s="51"/>
    </row>
    <row r="51" spans="2:4" s="18" customFormat="1" ht="15.75" customHeight="1" thickBot="1">
      <c r="B51" s="52" t="s">
        <v>103</v>
      </c>
      <c r="C51" s="38">
        <f>$C$19%*C54</f>
        <v>293.6057300616354</v>
      </c>
      <c r="D51" s="51"/>
    </row>
    <row r="52" spans="2:5" s="18" customFormat="1" ht="15.75" customHeight="1" thickBot="1">
      <c r="B52" s="34" t="s">
        <v>47</v>
      </c>
      <c r="C52" s="40">
        <f>SUM(C49:C51)</f>
        <v>507.9379130066293</v>
      </c>
      <c r="D52" s="25"/>
      <c r="E52" s="25"/>
    </row>
    <row r="53" spans="2:5" s="18" customFormat="1" ht="15.75" customHeight="1" thickBot="1">
      <c r="B53" s="53" t="s">
        <v>48</v>
      </c>
      <c r="C53" s="54">
        <f>SUM(C40,C43,C47,C52)</f>
        <v>1605.5077012327092</v>
      </c>
      <c r="E53" s="25"/>
    </row>
    <row r="54" spans="2:3" s="18" customFormat="1" ht="15.75" customHeight="1" thickBot="1">
      <c r="B54" s="55" t="s">
        <v>49</v>
      </c>
      <c r="C54" s="56">
        <f>SUM(C32,C40,C43,C47)/((100-(3.65+$C$19))/100)</f>
        <v>5872.114601232708</v>
      </c>
    </row>
    <row r="55" spans="2:5" s="18" customFormat="1" ht="15.75" customHeight="1" thickBot="1">
      <c r="B55" s="53" t="s">
        <v>50</v>
      </c>
      <c r="C55" s="54">
        <f>(C31*C54)</f>
        <v>5872.114601232708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60" t="s">
        <v>51</v>
      </c>
      <c r="C57" s="161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52" t="s">
        <v>53</v>
      </c>
      <c r="C59" s="153"/>
    </row>
    <row r="60" spans="2:3" ht="15.75" customHeight="1">
      <c r="B60" s="152" t="s">
        <v>54</v>
      </c>
      <c r="C60" s="153"/>
    </row>
    <row r="61" spans="2:3" ht="15.75" customHeight="1">
      <c r="B61" s="152" t="s">
        <v>55</v>
      </c>
      <c r="C61" s="153"/>
    </row>
    <row r="62" spans="2:3" ht="15.75" customHeight="1">
      <c r="B62" s="150" t="s">
        <v>56</v>
      </c>
      <c r="C62" s="151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50" t="s">
        <v>60</v>
      </c>
      <c r="C66" s="151"/>
    </row>
    <row r="67" spans="2:3" ht="15.75" customHeight="1">
      <c r="B67" s="59" t="s">
        <v>61</v>
      </c>
      <c r="C67" s="60"/>
    </row>
    <row r="68" spans="2:3" ht="15.75" customHeight="1">
      <c r="B68" s="152" t="s">
        <v>62</v>
      </c>
      <c r="C68" s="153"/>
    </row>
    <row r="69" spans="2:3" ht="11.25">
      <c r="B69" s="154" t="s">
        <v>63</v>
      </c>
      <c r="C69" s="155"/>
    </row>
    <row r="70" spans="2:3" ht="11.25">
      <c r="B70" s="154"/>
      <c r="C70" s="155"/>
    </row>
    <row r="71" spans="2:3" ht="15.75" customHeight="1">
      <c r="B71" s="156"/>
      <c r="C71" s="157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9"/>
  <sheetViews>
    <sheetView tabSelected="1" view="pageBreakPreview" zoomScale="90" zoomScaleNormal="70" zoomScaleSheetLayoutView="90" zoomScalePageLayoutView="0" workbookViewId="0" topLeftCell="A13">
      <selection activeCell="F34" sqref="F34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84</v>
      </c>
      <c r="C5" s="63">
        <v>1289.77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9" t="s">
        <v>8</v>
      </c>
      <c r="C11" s="10">
        <v>6</v>
      </c>
    </row>
    <row r="12" spans="2:3" ht="15.75" customHeight="1">
      <c r="B12" s="2" t="s">
        <v>9</v>
      </c>
      <c r="C12" s="11">
        <v>20</v>
      </c>
    </row>
    <row r="13" spans="2:3" ht="15.75" customHeight="1">
      <c r="B13" s="2" t="s">
        <v>10</v>
      </c>
      <c r="C13" s="11">
        <v>4.5</v>
      </c>
    </row>
    <row r="14" spans="2:3" ht="15.75" customHeight="1">
      <c r="B14" s="5" t="s">
        <v>160</v>
      </c>
      <c r="C14" s="12">
        <v>0</v>
      </c>
    </row>
    <row r="15" spans="2:3" ht="15.75" customHeight="1">
      <c r="B15" s="146" t="s">
        <v>12</v>
      </c>
      <c r="C15" s="146"/>
    </row>
    <row r="16" spans="2:3" ht="15.75" customHeight="1">
      <c r="B16" s="7" t="s">
        <v>13</v>
      </c>
      <c r="C16" s="121">
        <v>0</v>
      </c>
    </row>
    <row r="17" spans="2:3" ht="15.75" customHeight="1">
      <c r="B17" s="148" t="s">
        <v>14</v>
      </c>
      <c r="C17" s="148"/>
    </row>
    <row r="18" spans="2:3" ht="15.75" customHeight="1">
      <c r="B18" s="14" t="s">
        <v>15</v>
      </c>
      <c r="C18" s="15">
        <v>5</v>
      </c>
    </row>
    <row r="19" spans="2:3" ht="15.75" customHeight="1">
      <c r="B19" s="16"/>
      <c r="C19" s="17"/>
    </row>
    <row r="20" s="18" customFormat="1" ht="15.75" customHeight="1">
      <c r="B20" s="19" t="s">
        <v>16</v>
      </c>
    </row>
    <row r="21" spans="2:3" s="18" customFormat="1" ht="15.75" customHeight="1">
      <c r="B21" s="19" t="s">
        <v>85</v>
      </c>
      <c r="C21" s="20" t="s">
        <v>18</v>
      </c>
    </row>
    <row r="22" spans="2:3" s="18" customFormat="1" ht="15.75" customHeight="1">
      <c r="B22" s="21"/>
      <c r="C22" s="22"/>
    </row>
    <row r="23" spans="2:3" s="18" customFormat="1" ht="15.75" customHeight="1">
      <c r="B23" s="143" t="s">
        <v>19</v>
      </c>
      <c r="C23" s="143" t="s">
        <v>20</v>
      </c>
    </row>
    <row r="24" spans="2:3" s="18" customFormat="1" ht="15.75" customHeight="1">
      <c r="B24" s="143"/>
      <c r="C24" s="143"/>
    </row>
    <row r="25" spans="2:3" s="18" customFormat="1" ht="15.75" customHeight="1">
      <c r="B25" s="23" t="s">
        <v>21</v>
      </c>
      <c r="C25" s="24"/>
    </row>
    <row r="26" spans="2:3" s="25" customFormat="1" ht="15.75" customHeight="1">
      <c r="B26" s="26" t="s">
        <v>22</v>
      </c>
      <c r="C26" s="27">
        <f>C5</f>
        <v>1289.77</v>
      </c>
    </row>
    <row r="27" spans="2:3" s="25" customFormat="1" ht="15.75" customHeight="1">
      <c r="B27" s="26" t="s">
        <v>23</v>
      </c>
      <c r="C27" s="27">
        <f>C5*C6%</f>
        <v>0</v>
      </c>
    </row>
    <row r="28" spans="2:3" s="25" customFormat="1" ht="15.75" customHeight="1">
      <c r="B28" s="28" t="s">
        <v>24</v>
      </c>
      <c r="C28" s="29">
        <f>+C5*C7%</f>
        <v>0</v>
      </c>
    </row>
    <row r="29" spans="2:3" s="18" customFormat="1" ht="15.75" customHeight="1">
      <c r="B29" s="30" t="s">
        <v>25</v>
      </c>
      <c r="C29" s="31">
        <f>SUM(C26:C28)*0.7211</f>
        <v>930.053147</v>
      </c>
    </row>
    <row r="30" spans="2:3" s="18" customFormat="1" ht="15.75" customHeight="1">
      <c r="B30" s="32" t="s">
        <v>26</v>
      </c>
      <c r="C30" s="33">
        <f>C8</f>
        <v>1</v>
      </c>
    </row>
    <row r="31" spans="2:3" s="18" customFormat="1" ht="15.75" customHeight="1">
      <c r="B31" s="34" t="s">
        <v>27</v>
      </c>
      <c r="C31" s="35">
        <f>SUM(C26:C29)</f>
        <v>2219.823147</v>
      </c>
    </row>
    <row r="32" spans="2:3" s="18" customFormat="1" ht="15.75" customHeight="1">
      <c r="B32" s="36" t="s">
        <v>28</v>
      </c>
      <c r="C32" s="27"/>
    </row>
    <row r="33" spans="2:3" s="18" customFormat="1" ht="15.75" customHeight="1">
      <c r="B33" s="28" t="s">
        <v>29</v>
      </c>
      <c r="C33" s="27">
        <f>C10</f>
        <v>20</v>
      </c>
    </row>
    <row r="34" spans="2:3" s="18" customFormat="1" ht="15.75" customHeight="1">
      <c r="B34" s="30" t="s">
        <v>30</v>
      </c>
      <c r="C34" s="31">
        <f>(($C$11*22)-(C26*0.06))</f>
        <v>54.6138</v>
      </c>
    </row>
    <row r="35" spans="2:3" s="18" customFormat="1" ht="15.75" customHeight="1">
      <c r="B35" s="30" t="s">
        <v>31</v>
      </c>
      <c r="C35" s="37">
        <f>$C$12*22</f>
        <v>440</v>
      </c>
    </row>
    <row r="36" spans="2:3" s="18" customFormat="1" ht="15.75" customHeight="1">
      <c r="B36" s="30" t="s">
        <v>32</v>
      </c>
      <c r="C36" s="31">
        <f>+C13</f>
        <v>4.5</v>
      </c>
    </row>
    <row r="37" spans="2:4" s="18" customFormat="1" ht="15.75" customHeight="1">
      <c r="B37" s="32" t="s">
        <v>33</v>
      </c>
      <c r="C37" s="38">
        <f>C14</f>
        <v>0</v>
      </c>
      <c r="D37" s="39"/>
    </row>
    <row r="38" spans="2:4" s="18" customFormat="1" ht="15.75" customHeight="1">
      <c r="B38" s="34" t="s">
        <v>34</v>
      </c>
      <c r="C38" s="40">
        <f>SUM(C33:C37)</f>
        <v>519.1138</v>
      </c>
      <c r="D38" s="39"/>
    </row>
    <row r="39" spans="2:4" s="18" customFormat="1" ht="15.75" customHeight="1">
      <c r="B39" s="36" t="s">
        <v>35</v>
      </c>
      <c r="C39" s="27"/>
      <c r="D39" s="39"/>
    </row>
    <row r="40" spans="2:4" s="18" customFormat="1" ht="15.75" customHeight="1">
      <c r="B40" s="41" t="s">
        <v>36</v>
      </c>
      <c r="C40" s="42">
        <f>+C16</f>
        <v>0</v>
      </c>
      <c r="D40" s="39"/>
    </row>
    <row r="41" spans="1:12" s="44" customFormat="1" ht="15.75" customHeight="1">
      <c r="A41" s="18"/>
      <c r="B41" s="34" t="s">
        <v>37</v>
      </c>
      <c r="C41" s="43">
        <f>SUM(C40)</f>
        <v>0</v>
      </c>
      <c r="D41" s="39"/>
      <c r="E41" s="18"/>
      <c r="F41" s="18"/>
      <c r="G41" s="18"/>
      <c r="H41" s="18"/>
      <c r="I41" s="18"/>
      <c r="J41" s="18"/>
      <c r="K41" s="18"/>
      <c r="L41" s="18"/>
    </row>
    <row r="42" spans="1:12" s="44" customFormat="1" ht="15.75" customHeight="1">
      <c r="A42" s="18"/>
      <c r="B42" s="45" t="s">
        <v>38</v>
      </c>
      <c r="C42" s="46"/>
      <c r="D42" s="39"/>
      <c r="E42" s="18"/>
      <c r="F42" s="18"/>
      <c r="G42" s="18"/>
      <c r="H42" s="18"/>
      <c r="I42" s="18"/>
      <c r="J42" s="18"/>
      <c r="K42" s="18"/>
      <c r="L42" s="18"/>
    </row>
    <row r="43" spans="2:13" s="44" customFormat="1" ht="15.75" customHeight="1">
      <c r="B43" s="30" t="s">
        <v>39</v>
      </c>
      <c r="C43" s="47">
        <f>(SUM($C$31+$C$38+$C$41))*5.31%</f>
        <v>145.4375518857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s="18" customFormat="1" ht="15.75" customHeight="1">
      <c r="B44" s="32" t="s">
        <v>40</v>
      </c>
      <c r="C44" s="48">
        <f>(SUM($C$31+$C$38+$C$41+C43))*7.2%</f>
        <v>207.67496391977045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s="18" customFormat="1" ht="15.75" customHeight="1">
      <c r="B45" s="34" t="s">
        <v>41</v>
      </c>
      <c r="C45" s="40">
        <f>SUM(C43:C44)</f>
        <v>353.1125158054705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3" s="18" customFormat="1" ht="15.75" customHeight="1">
      <c r="B46" s="49" t="s">
        <v>42</v>
      </c>
      <c r="C46" s="50"/>
    </row>
    <row r="47" spans="2:3" s="18" customFormat="1" ht="15.75" customHeight="1">
      <c r="B47" s="28" t="s">
        <v>43</v>
      </c>
      <c r="C47" s="27">
        <f>$C$52*0.65%</f>
        <v>22.001446642841337</v>
      </c>
    </row>
    <row r="48" spans="2:4" s="18" customFormat="1" ht="15.75" customHeight="1">
      <c r="B48" s="30" t="s">
        <v>44</v>
      </c>
      <c r="C48" s="31">
        <f>$C$52*3%</f>
        <v>101.54513835157539</v>
      </c>
      <c r="D48" s="51"/>
    </row>
    <row r="49" spans="2:4" s="18" customFormat="1" ht="15.75" customHeight="1">
      <c r="B49" s="52" t="str">
        <f>(D48&amp;C18&amp;D49)</f>
        <v>5</v>
      </c>
      <c r="C49" s="38">
        <f>$C$18%*C52</f>
        <v>169.24189725262568</v>
      </c>
      <c r="D49" s="51"/>
    </row>
    <row r="50" spans="2:5" s="18" customFormat="1" ht="15.75" customHeight="1">
      <c r="B50" s="34" t="s">
        <v>47</v>
      </c>
      <c r="C50" s="40">
        <f>SUM(C47:C49)</f>
        <v>292.7884822470424</v>
      </c>
      <c r="D50" s="25"/>
      <c r="E50" s="25"/>
    </row>
    <row r="51" spans="2:5" s="18" customFormat="1" ht="15.75" customHeight="1">
      <c r="B51" s="53" t="s">
        <v>48</v>
      </c>
      <c r="C51" s="54">
        <f>SUM(C38,C41,C45,C50)</f>
        <v>1165.0147980525128</v>
      </c>
      <c r="E51" s="25"/>
    </row>
    <row r="52" spans="2:3" s="18" customFormat="1" ht="15.75" customHeight="1">
      <c r="B52" s="55" t="s">
        <v>49</v>
      </c>
      <c r="C52" s="56">
        <f>SUM(C31,C38,C41,C45)/((100-(3.65+$C$18))/100)</f>
        <v>3384.837945052513</v>
      </c>
    </row>
    <row r="53" spans="2:5" s="18" customFormat="1" ht="15.75" customHeight="1">
      <c r="B53" s="53" t="s">
        <v>50</v>
      </c>
      <c r="C53" s="54">
        <f>(C30*C52)</f>
        <v>3384.837945052513</v>
      </c>
      <c r="E53" s="25"/>
    </row>
    <row r="54" spans="2:3" s="18" customFormat="1" ht="15.75" customHeight="1">
      <c r="B54" s="57"/>
      <c r="C54" s="57"/>
    </row>
    <row r="55" spans="2:12" s="58" customFormat="1" ht="15.75" customHeight="1">
      <c r="B55" s="149" t="s">
        <v>51</v>
      </c>
      <c r="C55" s="149"/>
      <c r="D55" s="18"/>
      <c r="E55" s="18"/>
      <c r="F55" s="18"/>
      <c r="G55" s="18"/>
      <c r="H55" s="18"/>
      <c r="I55" s="18"/>
      <c r="J55" s="18"/>
      <c r="K55" s="18"/>
      <c r="L55" s="18"/>
    </row>
    <row r="56" spans="2:3" ht="15.75" customHeight="1">
      <c r="B56" s="59" t="s">
        <v>52</v>
      </c>
      <c r="C56" s="60"/>
    </row>
    <row r="57" spans="2:3" ht="15.75" customHeight="1">
      <c r="B57" s="141" t="s">
        <v>53</v>
      </c>
      <c r="C57" s="141"/>
    </row>
    <row r="58" spans="2:3" ht="15.75" customHeight="1">
      <c r="B58" s="141" t="s">
        <v>54</v>
      </c>
      <c r="C58" s="141"/>
    </row>
    <row r="59" spans="2:3" ht="15.75" customHeight="1">
      <c r="B59" s="141" t="s">
        <v>55</v>
      </c>
      <c r="C59" s="141"/>
    </row>
    <row r="60" spans="2:3" ht="15.75" customHeight="1">
      <c r="B60" s="140" t="s">
        <v>56</v>
      </c>
      <c r="C60" s="140"/>
    </row>
    <row r="61" spans="2:3" ht="15.75" customHeight="1">
      <c r="B61" s="59" t="s">
        <v>57</v>
      </c>
      <c r="C61" s="60"/>
    </row>
    <row r="62" spans="2:3" ht="15.75" customHeight="1">
      <c r="B62" s="59" t="s">
        <v>58</v>
      </c>
      <c r="C62" s="60"/>
    </row>
    <row r="63" spans="2:3" ht="15.75" customHeight="1">
      <c r="B63" s="61" t="s">
        <v>59</v>
      </c>
      <c r="C63" s="62"/>
    </row>
    <row r="64" spans="2:3" ht="15.75" customHeight="1">
      <c r="B64" s="140" t="s">
        <v>60</v>
      </c>
      <c r="C64" s="140"/>
    </row>
    <row r="65" spans="2:3" ht="15.75" customHeight="1">
      <c r="B65" s="59" t="s">
        <v>61</v>
      </c>
      <c r="C65" s="60"/>
    </row>
    <row r="66" spans="2:3" ht="15.75" customHeight="1">
      <c r="B66" s="141" t="s">
        <v>62</v>
      </c>
      <c r="C66" s="141"/>
    </row>
    <row r="67" spans="2:3" ht="6" customHeight="1">
      <c r="B67" s="142" t="s">
        <v>63</v>
      </c>
      <c r="C67" s="142"/>
    </row>
    <row r="68" spans="2:3" ht="6" customHeight="1">
      <c r="B68" s="142"/>
      <c r="C68" s="142"/>
    </row>
    <row r="69" spans="2:3" ht="15.75" customHeight="1">
      <c r="B69" s="142"/>
      <c r="C69" s="142"/>
    </row>
  </sheetData>
  <sheetProtection selectLockedCells="1" selectUnlockedCells="1"/>
  <mergeCells count="16">
    <mergeCell ref="B2:C2"/>
    <mergeCell ref="B3:C3"/>
    <mergeCell ref="B4:C4"/>
    <mergeCell ref="B9:C9"/>
    <mergeCell ref="B15:C15"/>
    <mergeCell ref="B17:C17"/>
    <mergeCell ref="B60:C60"/>
    <mergeCell ref="B64:C64"/>
    <mergeCell ref="B66:C66"/>
    <mergeCell ref="B67:C69"/>
    <mergeCell ref="B23:B24"/>
    <mergeCell ref="C23:C24"/>
    <mergeCell ref="B55:C55"/>
    <mergeCell ref="B57:C57"/>
    <mergeCell ref="B58:C58"/>
    <mergeCell ref="B59:C59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 r:id="rId3"/>
  <rowBreaks count="1" manualBreakCount="1">
    <brk id="54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69"/>
  <sheetViews>
    <sheetView view="pageBreakPreview" zoomScale="90" zoomScaleNormal="90" zoomScaleSheetLayoutView="90" zoomScalePageLayoutView="0" workbookViewId="0" topLeftCell="A13">
      <selection activeCell="D48" sqref="D48:D50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163</v>
      </c>
      <c r="C4" s="146"/>
    </row>
    <row r="5" spans="2:5" ht="15.75" customHeight="1">
      <c r="B5" s="2" t="s">
        <v>86</v>
      </c>
      <c r="C5" s="63">
        <v>1440.72</v>
      </c>
      <c r="E5" s="64"/>
    </row>
    <row r="6" spans="2:5" ht="15.75" customHeight="1">
      <c r="B6" s="2" t="s">
        <v>3</v>
      </c>
      <c r="C6" s="4">
        <v>0</v>
      </c>
      <c r="E6" s="64"/>
    </row>
    <row r="7" spans="2:5" ht="15.75" customHeight="1">
      <c r="B7" s="2" t="s">
        <v>4</v>
      </c>
      <c r="C7" s="4">
        <v>0</v>
      </c>
      <c r="E7" s="64"/>
    </row>
    <row r="8" spans="2:5" ht="15.75" customHeight="1">
      <c r="B8" s="5" t="s">
        <v>5</v>
      </c>
      <c r="C8" s="6">
        <v>1</v>
      </c>
      <c r="E8" s="64"/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136">
        <v>0</v>
      </c>
    </row>
    <row r="11" spans="2:3" ht="15.75" customHeight="1">
      <c r="B11" s="9" t="s">
        <v>8</v>
      </c>
      <c r="C11" s="137">
        <v>6</v>
      </c>
    </row>
    <row r="12" spans="2:3" ht="15.75" customHeight="1">
      <c r="B12" s="2" t="s">
        <v>9</v>
      </c>
      <c r="C12" s="138">
        <v>12</v>
      </c>
    </row>
    <row r="13" spans="2:3" ht="15.75" customHeight="1">
      <c r="B13" s="2" t="s">
        <v>10</v>
      </c>
      <c r="C13" s="11">
        <v>0</v>
      </c>
    </row>
    <row r="14" spans="2:3" ht="15.75" customHeight="1">
      <c r="B14" s="5" t="s">
        <v>11</v>
      </c>
      <c r="C14" s="12">
        <v>0</v>
      </c>
    </row>
    <row r="15" spans="2:3" ht="15.75" customHeight="1">
      <c r="B15" s="146" t="s">
        <v>12</v>
      </c>
      <c r="C15" s="146"/>
    </row>
    <row r="16" spans="2:3" ht="15.75" customHeight="1">
      <c r="B16" s="7" t="s">
        <v>13</v>
      </c>
      <c r="C16" s="121">
        <v>0</v>
      </c>
    </row>
    <row r="17" spans="2:3" ht="15.75" customHeight="1">
      <c r="B17" s="148" t="s">
        <v>14</v>
      </c>
      <c r="C17" s="148"/>
    </row>
    <row r="18" spans="2:3" ht="15.75" customHeight="1">
      <c r="B18" s="14" t="s">
        <v>15</v>
      </c>
      <c r="C18" s="15">
        <v>5</v>
      </c>
    </row>
    <row r="19" spans="2:3" ht="15.75" customHeight="1">
      <c r="B19" s="16"/>
      <c r="C19" s="17"/>
    </row>
    <row r="20" s="18" customFormat="1" ht="15.75" customHeight="1">
      <c r="B20" s="19" t="s">
        <v>16</v>
      </c>
    </row>
    <row r="21" spans="2:3" s="18" customFormat="1" ht="15.75" customHeight="1">
      <c r="B21" s="19" t="s">
        <v>87</v>
      </c>
      <c r="C21" s="20" t="s">
        <v>18</v>
      </c>
    </row>
    <row r="22" spans="2:3" s="18" customFormat="1" ht="15.75" customHeight="1">
      <c r="B22" s="21"/>
      <c r="C22" s="22"/>
    </row>
    <row r="23" spans="2:3" s="18" customFormat="1" ht="15.75" customHeight="1">
      <c r="B23" s="143" t="s">
        <v>19</v>
      </c>
      <c r="C23" s="143" t="s">
        <v>20</v>
      </c>
    </row>
    <row r="24" spans="2:3" s="18" customFormat="1" ht="15.75" customHeight="1">
      <c r="B24" s="143"/>
      <c r="C24" s="143"/>
    </row>
    <row r="25" spans="2:3" s="18" customFormat="1" ht="15.75" customHeight="1">
      <c r="B25" s="23" t="s">
        <v>21</v>
      </c>
      <c r="C25" s="24"/>
    </row>
    <row r="26" spans="2:3" s="25" customFormat="1" ht="15.75" customHeight="1">
      <c r="B26" s="26" t="s">
        <v>22</v>
      </c>
      <c r="C26" s="27">
        <f>C5</f>
        <v>1440.72</v>
      </c>
    </row>
    <row r="27" spans="2:3" s="25" customFormat="1" ht="15.75" customHeight="1">
      <c r="B27" s="26" t="s">
        <v>23</v>
      </c>
      <c r="C27" s="27">
        <f>C5*C6%</f>
        <v>0</v>
      </c>
    </row>
    <row r="28" spans="2:3" s="25" customFormat="1" ht="15.75" customHeight="1">
      <c r="B28" s="28" t="s">
        <v>24</v>
      </c>
      <c r="C28" s="29">
        <f>+C5*C7%</f>
        <v>0</v>
      </c>
    </row>
    <row r="29" spans="2:3" s="18" customFormat="1" ht="15.75" customHeight="1">
      <c r="B29" s="30" t="s">
        <v>25</v>
      </c>
      <c r="C29" s="31">
        <f>SUM(C26:C28)*0.7211</f>
        <v>1038.903192</v>
      </c>
    </row>
    <row r="30" spans="2:10" s="18" customFormat="1" ht="15.75" customHeight="1">
      <c r="B30" s="32" t="s">
        <v>26</v>
      </c>
      <c r="C30" s="33">
        <f>C8</f>
        <v>1</v>
      </c>
      <c r="J30" s="18" t="s">
        <v>88</v>
      </c>
    </row>
    <row r="31" spans="2:3" s="18" customFormat="1" ht="15.75" customHeight="1">
      <c r="B31" s="34" t="s">
        <v>27</v>
      </c>
      <c r="C31" s="35">
        <f>SUM(C26:C29)</f>
        <v>2479.623192</v>
      </c>
    </row>
    <row r="32" spans="2:3" s="18" customFormat="1" ht="15.75" customHeight="1">
      <c r="B32" s="36" t="s">
        <v>28</v>
      </c>
      <c r="C32" s="27"/>
    </row>
    <row r="33" spans="2:3" s="18" customFormat="1" ht="15.75" customHeight="1">
      <c r="B33" s="28" t="s">
        <v>29</v>
      </c>
      <c r="C33" s="27">
        <f>C10</f>
        <v>0</v>
      </c>
    </row>
    <row r="34" spans="2:3" s="18" customFormat="1" ht="15.75" customHeight="1">
      <c r="B34" s="30" t="s">
        <v>30</v>
      </c>
      <c r="C34" s="31">
        <f>(($C$11*4)-(C26*0.06))*0</f>
        <v>0</v>
      </c>
    </row>
    <row r="35" spans="2:3" s="18" customFormat="1" ht="15.75" customHeight="1">
      <c r="B35" s="30" t="s">
        <v>31</v>
      </c>
      <c r="C35" s="37">
        <f>$C$12*4</f>
        <v>48</v>
      </c>
    </row>
    <row r="36" spans="2:3" s="18" customFormat="1" ht="15.75" customHeight="1">
      <c r="B36" s="30" t="s">
        <v>32</v>
      </c>
      <c r="C36" s="31">
        <f>+C13</f>
        <v>0</v>
      </c>
    </row>
    <row r="37" spans="2:4" s="18" customFormat="1" ht="15.75" customHeight="1">
      <c r="B37" s="32" t="s">
        <v>33</v>
      </c>
      <c r="C37" s="38">
        <f>C14</f>
        <v>0</v>
      </c>
      <c r="D37" s="39"/>
    </row>
    <row r="38" spans="2:4" s="18" customFormat="1" ht="15.75" customHeight="1">
      <c r="B38" s="34" t="s">
        <v>34</v>
      </c>
      <c r="C38" s="40">
        <f>SUM(C33:C37)</f>
        <v>48</v>
      </c>
      <c r="D38" s="39"/>
    </row>
    <row r="39" spans="2:4" s="18" customFormat="1" ht="15.75" customHeight="1">
      <c r="B39" s="36" t="s">
        <v>35</v>
      </c>
      <c r="C39" s="27"/>
      <c r="D39" s="39"/>
    </row>
    <row r="40" spans="2:4" s="18" customFormat="1" ht="15.75" customHeight="1">
      <c r="B40" s="41" t="s">
        <v>36</v>
      </c>
      <c r="C40" s="42">
        <f>+C16</f>
        <v>0</v>
      </c>
      <c r="D40" s="39"/>
    </row>
    <row r="41" spans="1:12" s="44" customFormat="1" ht="15.75" customHeight="1">
      <c r="A41" s="18"/>
      <c r="B41" s="34" t="s">
        <v>37</v>
      </c>
      <c r="C41" s="43">
        <f>SUM(C40)</f>
        <v>0</v>
      </c>
      <c r="D41" s="39"/>
      <c r="E41" s="18"/>
      <c r="F41" s="18"/>
      <c r="G41" s="18"/>
      <c r="H41" s="18"/>
      <c r="I41" s="18"/>
      <c r="J41" s="18"/>
      <c r="K41" s="18"/>
      <c r="L41" s="18"/>
    </row>
    <row r="42" spans="1:12" s="44" customFormat="1" ht="15.75" customHeight="1">
      <c r="A42" s="18"/>
      <c r="B42" s="45" t="s">
        <v>38</v>
      </c>
      <c r="C42" s="46"/>
      <c r="D42" s="39"/>
      <c r="E42" s="18"/>
      <c r="F42" s="18"/>
      <c r="G42" s="18"/>
      <c r="H42" s="18"/>
      <c r="I42" s="18"/>
      <c r="J42" s="18"/>
      <c r="K42" s="18"/>
      <c r="L42" s="18"/>
    </row>
    <row r="43" spans="2:13" s="44" customFormat="1" ht="15.75" customHeight="1">
      <c r="B43" s="30" t="s">
        <v>39</v>
      </c>
      <c r="C43" s="47">
        <f>(SUM($C$31+$C$38+$C$41))*5.31%</f>
        <v>134.2167914952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s="18" customFormat="1" ht="15.75" customHeight="1">
      <c r="B44" s="32" t="s">
        <v>40</v>
      </c>
      <c r="C44" s="48">
        <f>(SUM($C$31+$C$38+$C$41+C43))*7.2%</f>
        <v>191.65247881165445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s="18" customFormat="1" ht="15.75" customHeight="1">
      <c r="B45" s="34" t="s">
        <v>41</v>
      </c>
      <c r="C45" s="40">
        <f>SUM(C43:C44)</f>
        <v>325.86927030685445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3" s="18" customFormat="1" ht="15.75" customHeight="1">
      <c r="B46" s="49" t="s">
        <v>42</v>
      </c>
      <c r="C46" s="50"/>
    </row>
    <row r="47" spans="2:3" s="18" customFormat="1" ht="15.75" customHeight="1">
      <c r="B47" s="28" t="s">
        <v>43</v>
      </c>
      <c r="C47" s="27">
        <f>$C$52*0.65%</f>
        <v>20.303996721395247</v>
      </c>
    </row>
    <row r="48" spans="2:4" s="18" customFormat="1" ht="15.75" customHeight="1">
      <c r="B48" s="30" t="s">
        <v>44</v>
      </c>
      <c r="C48" s="31">
        <f>$C$52*3%</f>
        <v>93.71075409874727</v>
      </c>
      <c r="D48" s="51"/>
    </row>
    <row r="49" spans="2:4" s="18" customFormat="1" ht="15.75" customHeight="1">
      <c r="B49" s="52" t="str">
        <f>(D48&amp;C18&amp;D49)</f>
        <v>5</v>
      </c>
      <c r="C49" s="38">
        <f>$C$18%*C52</f>
        <v>156.18459016457882</v>
      </c>
      <c r="D49" s="51"/>
    </row>
    <row r="50" spans="2:5" s="18" customFormat="1" ht="15.75" customHeight="1">
      <c r="B50" s="34" t="s">
        <v>47</v>
      </c>
      <c r="C50" s="40">
        <f>SUM(C47:C49)</f>
        <v>270.19934098472135</v>
      </c>
      <c r="D50" s="25"/>
      <c r="E50" s="25"/>
    </row>
    <row r="51" spans="2:5" s="18" customFormat="1" ht="15.75" customHeight="1">
      <c r="B51" s="53" t="s">
        <v>48</v>
      </c>
      <c r="C51" s="54">
        <f>SUM(C38,C41,C45,C50)</f>
        <v>644.0686112915757</v>
      </c>
      <c r="E51" s="25"/>
    </row>
    <row r="52" spans="2:3" s="18" customFormat="1" ht="15.75" customHeight="1">
      <c r="B52" s="55" t="s">
        <v>49</v>
      </c>
      <c r="C52" s="56">
        <f>SUM(C31,C38,C41,C45)/((100-(3.65+$C$18))/100)</f>
        <v>3123.691803291576</v>
      </c>
    </row>
    <row r="53" spans="2:5" s="18" customFormat="1" ht="15.75" customHeight="1">
      <c r="B53" s="53" t="s">
        <v>50</v>
      </c>
      <c r="C53" s="54">
        <f>(C30*C52)</f>
        <v>3123.691803291576</v>
      </c>
      <c r="E53" s="25"/>
    </row>
    <row r="54" spans="2:3" s="18" customFormat="1" ht="15.75" customHeight="1">
      <c r="B54" s="57"/>
      <c r="C54" s="57"/>
    </row>
    <row r="55" spans="2:12" s="58" customFormat="1" ht="15.75" customHeight="1">
      <c r="B55" s="149" t="s">
        <v>51</v>
      </c>
      <c r="C55" s="149"/>
      <c r="D55" s="18"/>
      <c r="E55" s="18"/>
      <c r="F55" s="18"/>
      <c r="G55" s="18"/>
      <c r="H55" s="18"/>
      <c r="I55" s="18"/>
      <c r="J55" s="18"/>
      <c r="K55" s="18"/>
      <c r="L55" s="18"/>
    </row>
    <row r="56" spans="2:3" ht="15.75" customHeight="1">
      <c r="B56" s="59" t="s">
        <v>52</v>
      </c>
      <c r="C56" s="60"/>
    </row>
    <row r="57" spans="2:3" ht="15.75" customHeight="1">
      <c r="B57" s="141" t="s">
        <v>53</v>
      </c>
      <c r="C57" s="141"/>
    </row>
    <row r="58" spans="2:3" ht="15.75" customHeight="1">
      <c r="B58" s="141" t="s">
        <v>54</v>
      </c>
      <c r="C58" s="141"/>
    </row>
    <row r="59" spans="2:3" ht="15.75" customHeight="1">
      <c r="B59" s="141" t="s">
        <v>55</v>
      </c>
      <c r="C59" s="141"/>
    </row>
    <row r="60" spans="2:3" ht="15.75" customHeight="1">
      <c r="B60" s="140" t="s">
        <v>56</v>
      </c>
      <c r="C60" s="140"/>
    </row>
    <row r="61" spans="2:3" ht="15.75" customHeight="1">
      <c r="B61" s="59" t="s">
        <v>57</v>
      </c>
      <c r="C61" s="60"/>
    </row>
    <row r="62" spans="2:3" ht="15.75" customHeight="1">
      <c r="B62" s="59" t="s">
        <v>58</v>
      </c>
      <c r="C62" s="60"/>
    </row>
    <row r="63" spans="2:3" ht="15.75" customHeight="1">
      <c r="B63" s="61" t="s">
        <v>59</v>
      </c>
      <c r="C63" s="62"/>
    </row>
    <row r="64" spans="2:3" ht="15.75" customHeight="1">
      <c r="B64" s="140" t="s">
        <v>60</v>
      </c>
      <c r="C64" s="140"/>
    </row>
    <row r="65" spans="2:3" ht="15.75" customHeight="1">
      <c r="B65" s="59" t="s">
        <v>61</v>
      </c>
      <c r="C65" s="60"/>
    </row>
    <row r="66" spans="2:3" ht="15.75" customHeight="1">
      <c r="B66" s="141" t="s">
        <v>62</v>
      </c>
      <c r="C66" s="141"/>
    </row>
    <row r="67" spans="2:3" ht="6" customHeight="1">
      <c r="B67" s="142" t="s">
        <v>63</v>
      </c>
      <c r="C67" s="142"/>
    </row>
    <row r="68" spans="2:3" ht="6" customHeight="1">
      <c r="B68" s="142"/>
      <c r="C68" s="142"/>
    </row>
    <row r="69" spans="2:3" ht="15.75" customHeight="1">
      <c r="B69" s="142"/>
      <c r="C69" s="142"/>
    </row>
  </sheetData>
  <sheetProtection selectLockedCells="1" selectUnlockedCells="1"/>
  <mergeCells count="16">
    <mergeCell ref="B2:C2"/>
    <mergeCell ref="B3:C3"/>
    <mergeCell ref="B4:C4"/>
    <mergeCell ref="B9:C9"/>
    <mergeCell ref="B15:C15"/>
    <mergeCell ref="B17:C17"/>
    <mergeCell ref="B60:C60"/>
    <mergeCell ref="B64:C64"/>
    <mergeCell ref="B66:C66"/>
    <mergeCell ref="B67:C69"/>
    <mergeCell ref="B23:B24"/>
    <mergeCell ref="C23:C24"/>
    <mergeCell ref="B55:C55"/>
    <mergeCell ref="B57:C57"/>
    <mergeCell ref="B58:C58"/>
    <mergeCell ref="B59:C5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69"/>
  <sheetViews>
    <sheetView view="pageBreakPreview" zoomScale="90" zoomScaleNormal="55" zoomScaleSheetLayoutView="90" zoomScalePageLayoutView="0" workbookViewId="0" topLeftCell="A1">
      <selection activeCell="B4" sqref="B4:C4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163</v>
      </c>
      <c r="C4" s="146"/>
    </row>
    <row r="5" spans="2:3" ht="15.75" customHeight="1">
      <c r="B5" s="2" t="s">
        <v>89</v>
      </c>
      <c r="C5" s="63">
        <v>1440.72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136">
        <v>0</v>
      </c>
    </row>
    <row r="11" spans="2:3" ht="15.75" customHeight="1">
      <c r="B11" s="9" t="s">
        <v>8</v>
      </c>
      <c r="C11" s="137">
        <v>6</v>
      </c>
    </row>
    <row r="12" spans="2:3" ht="15.75" customHeight="1">
      <c r="B12" s="2" t="s">
        <v>9</v>
      </c>
      <c r="C12" s="138">
        <v>12</v>
      </c>
    </row>
    <row r="13" spans="2:3" ht="15.75" customHeight="1">
      <c r="B13" s="2" t="s">
        <v>10</v>
      </c>
      <c r="C13" s="11">
        <v>0</v>
      </c>
    </row>
    <row r="14" spans="2:3" ht="15.75" customHeight="1">
      <c r="B14" s="5" t="s">
        <v>11</v>
      </c>
      <c r="C14" s="12">
        <v>0</v>
      </c>
    </row>
    <row r="15" spans="2:3" ht="15.75" customHeight="1">
      <c r="B15" s="146" t="s">
        <v>12</v>
      </c>
      <c r="C15" s="146"/>
    </row>
    <row r="16" spans="2:3" ht="15.75" customHeight="1">
      <c r="B16" s="7" t="s">
        <v>13</v>
      </c>
      <c r="C16" s="121">
        <v>0</v>
      </c>
    </row>
    <row r="17" spans="2:3" ht="15.75" customHeight="1">
      <c r="B17" s="148" t="s">
        <v>14</v>
      </c>
      <c r="C17" s="148"/>
    </row>
    <row r="18" spans="2:3" ht="15.75" customHeight="1">
      <c r="B18" s="14" t="s">
        <v>15</v>
      </c>
      <c r="C18" s="15">
        <v>5</v>
      </c>
    </row>
    <row r="19" spans="2:3" ht="15.75" customHeight="1">
      <c r="B19" s="16"/>
      <c r="C19" s="17"/>
    </row>
    <row r="20" s="18" customFormat="1" ht="15.75" customHeight="1">
      <c r="B20" s="19" t="s">
        <v>16</v>
      </c>
    </row>
    <row r="21" spans="2:3" s="18" customFormat="1" ht="15.75" customHeight="1">
      <c r="B21" s="19" t="s">
        <v>90</v>
      </c>
      <c r="C21" s="20" t="s">
        <v>18</v>
      </c>
    </row>
    <row r="22" spans="2:3" s="18" customFormat="1" ht="15.75" customHeight="1">
      <c r="B22" s="21"/>
      <c r="C22" s="22"/>
    </row>
    <row r="23" spans="2:3" s="18" customFormat="1" ht="15.75" customHeight="1">
      <c r="B23" s="143" t="s">
        <v>19</v>
      </c>
      <c r="C23" s="143" t="s">
        <v>20</v>
      </c>
    </row>
    <row r="24" spans="2:3" s="18" customFormat="1" ht="15.75" customHeight="1">
      <c r="B24" s="143"/>
      <c r="C24" s="143"/>
    </row>
    <row r="25" spans="2:3" s="18" customFormat="1" ht="15.75" customHeight="1">
      <c r="B25" s="23" t="s">
        <v>21</v>
      </c>
      <c r="C25" s="24"/>
    </row>
    <row r="26" spans="2:3" s="25" customFormat="1" ht="15.75" customHeight="1">
      <c r="B26" s="26" t="s">
        <v>22</v>
      </c>
      <c r="C26" s="27">
        <f>C5</f>
        <v>1440.72</v>
      </c>
    </row>
    <row r="27" spans="2:3" s="25" customFormat="1" ht="15.75" customHeight="1">
      <c r="B27" s="26" t="s">
        <v>23</v>
      </c>
      <c r="C27" s="27">
        <f>C5*C6%</f>
        <v>0</v>
      </c>
    </row>
    <row r="28" spans="2:3" s="25" customFormat="1" ht="15.75" customHeight="1">
      <c r="B28" s="28" t="s">
        <v>24</v>
      </c>
      <c r="C28" s="29">
        <f>+C5*C7%</f>
        <v>0</v>
      </c>
    </row>
    <row r="29" spans="2:3" s="18" customFormat="1" ht="15.75" customHeight="1">
      <c r="B29" s="30" t="s">
        <v>25</v>
      </c>
      <c r="C29" s="31">
        <f>SUM(C26:C28)*0.7211</f>
        <v>1038.903192</v>
      </c>
    </row>
    <row r="30" spans="2:3" s="18" customFormat="1" ht="15.75" customHeight="1">
      <c r="B30" s="32" t="s">
        <v>26</v>
      </c>
      <c r="C30" s="33">
        <f>C8</f>
        <v>1</v>
      </c>
    </row>
    <row r="31" spans="2:3" s="18" customFormat="1" ht="15.75" customHeight="1">
      <c r="B31" s="34" t="s">
        <v>27</v>
      </c>
      <c r="C31" s="35">
        <f>SUM(C26:C29)</f>
        <v>2479.623192</v>
      </c>
    </row>
    <row r="32" spans="2:3" s="18" customFormat="1" ht="15.75" customHeight="1">
      <c r="B32" s="36" t="s">
        <v>28</v>
      </c>
      <c r="C32" s="27"/>
    </row>
    <row r="33" spans="2:3" s="18" customFormat="1" ht="15.75" customHeight="1">
      <c r="B33" s="28" t="s">
        <v>29</v>
      </c>
      <c r="C33" s="27">
        <f>C10</f>
        <v>0</v>
      </c>
    </row>
    <row r="34" spans="2:3" s="18" customFormat="1" ht="15.75" customHeight="1">
      <c r="B34" s="30" t="s">
        <v>30</v>
      </c>
      <c r="C34" s="31">
        <f>(($C$11*4)-(C26*0.06))*0</f>
        <v>0</v>
      </c>
    </row>
    <row r="35" spans="2:3" s="18" customFormat="1" ht="15.75" customHeight="1">
      <c r="B35" s="30" t="s">
        <v>31</v>
      </c>
      <c r="C35" s="37">
        <f>$C$12*4</f>
        <v>48</v>
      </c>
    </row>
    <row r="36" spans="2:3" s="18" customFormat="1" ht="15.75" customHeight="1">
      <c r="B36" s="30" t="s">
        <v>32</v>
      </c>
      <c r="C36" s="31">
        <f>+C13</f>
        <v>0</v>
      </c>
    </row>
    <row r="37" spans="2:4" s="18" customFormat="1" ht="15.75" customHeight="1">
      <c r="B37" s="32" t="s">
        <v>33</v>
      </c>
      <c r="C37" s="38">
        <f>C14</f>
        <v>0</v>
      </c>
      <c r="D37" s="39"/>
    </row>
    <row r="38" spans="2:4" s="18" customFormat="1" ht="15.75" customHeight="1">
      <c r="B38" s="34" t="s">
        <v>34</v>
      </c>
      <c r="C38" s="40">
        <f>SUM(C33:C37)</f>
        <v>48</v>
      </c>
      <c r="D38" s="39"/>
    </row>
    <row r="39" spans="2:4" s="18" customFormat="1" ht="15.75" customHeight="1">
      <c r="B39" s="36" t="s">
        <v>35</v>
      </c>
      <c r="C39" s="27"/>
      <c r="D39" s="39"/>
    </row>
    <row r="40" spans="2:4" s="18" customFormat="1" ht="15.75" customHeight="1">
      <c r="B40" s="41" t="s">
        <v>36</v>
      </c>
      <c r="C40" s="42">
        <f>+C16</f>
        <v>0</v>
      </c>
      <c r="D40" s="39"/>
    </row>
    <row r="41" spans="1:12" s="44" customFormat="1" ht="15.75" customHeight="1">
      <c r="A41" s="18"/>
      <c r="B41" s="34" t="s">
        <v>37</v>
      </c>
      <c r="C41" s="43">
        <f>SUM(C40)</f>
        <v>0</v>
      </c>
      <c r="D41" s="39"/>
      <c r="E41" s="18"/>
      <c r="F41" s="18"/>
      <c r="G41" s="18"/>
      <c r="H41" s="18"/>
      <c r="I41" s="18"/>
      <c r="J41" s="18"/>
      <c r="K41" s="18"/>
      <c r="L41" s="18"/>
    </row>
    <row r="42" spans="1:12" s="44" customFormat="1" ht="15.75" customHeight="1">
      <c r="A42" s="18"/>
      <c r="B42" s="45" t="s">
        <v>38</v>
      </c>
      <c r="C42" s="46"/>
      <c r="D42" s="39"/>
      <c r="E42" s="18"/>
      <c r="F42" s="18"/>
      <c r="G42" s="18"/>
      <c r="H42" s="18"/>
      <c r="I42" s="18"/>
      <c r="J42" s="18"/>
      <c r="K42" s="18"/>
      <c r="L42" s="18"/>
    </row>
    <row r="43" spans="2:13" s="44" customFormat="1" ht="15.75" customHeight="1">
      <c r="B43" s="30" t="s">
        <v>39</v>
      </c>
      <c r="C43" s="47">
        <f>(SUM($C$31+$C$38+$C$41))*5.31%</f>
        <v>134.2167914952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s="18" customFormat="1" ht="15.75" customHeight="1">
      <c r="B44" s="32" t="s">
        <v>40</v>
      </c>
      <c r="C44" s="48">
        <f>(SUM($C$31+$C$38+$C$41+C43))*7.2%</f>
        <v>191.65247881165445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s="18" customFormat="1" ht="15.75" customHeight="1">
      <c r="B45" s="34" t="s">
        <v>41</v>
      </c>
      <c r="C45" s="40">
        <f>SUM(C43:C44)</f>
        <v>325.86927030685445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3" s="18" customFormat="1" ht="15.75" customHeight="1">
      <c r="B46" s="49" t="s">
        <v>42</v>
      </c>
      <c r="C46" s="50"/>
    </row>
    <row r="47" spans="2:3" s="18" customFormat="1" ht="15.75" customHeight="1">
      <c r="B47" s="28" t="s">
        <v>43</v>
      </c>
      <c r="C47" s="27">
        <f>$C$52*0.65%</f>
        <v>20.303996721395247</v>
      </c>
    </row>
    <row r="48" spans="2:4" s="18" customFormat="1" ht="15.75" customHeight="1">
      <c r="B48" s="30" t="s">
        <v>44</v>
      </c>
      <c r="C48" s="31">
        <f>$C$52*3%</f>
        <v>93.71075409874727</v>
      </c>
      <c r="D48" s="51" t="s">
        <v>45</v>
      </c>
    </row>
    <row r="49" spans="2:4" s="18" customFormat="1" ht="15.75" customHeight="1">
      <c r="B49" s="52" t="str">
        <f>(D48&amp;C18&amp;D49)</f>
        <v>ISSQN - 5 %</v>
      </c>
      <c r="C49" s="38">
        <f>$C$18%*C52</f>
        <v>156.18459016457882</v>
      </c>
      <c r="D49" s="51" t="s">
        <v>46</v>
      </c>
    </row>
    <row r="50" spans="2:5" s="18" customFormat="1" ht="15.75" customHeight="1">
      <c r="B50" s="34" t="s">
        <v>47</v>
      </c>
      <c r="C50" s="40">
        <f>SUM(C47:C49)</f>
        <v>270.19934098472135</v>
      </c>
      <c r="D50" s="25"/>
      <c r="E50" s="25"/>
    </row>
    <row r="51" spans="2:5" s="18" customFormat="1" ht="15.75" customHeight="1">
      <c r="B51" s="53" t="s">
        <v>48</v>
      </c>
      <c r="C51" s="54">
        <f>SUM(C38,C41,C45,C50)</f>
        <v>644.0686112915757</v>
      </c>
      <c r="E51" s="25"/>
    </row>
    <row r="52" spans="2:3" s="18" customFormat="1" ht="15.75" customHeight="1">
      <c r="B52" s="55" t="s">
        <v>49</v>
      </c>
      <c r="C52" s="56">
        <f>SUM(C31,C38,C41,C45)/((100-(3.65+$C$18))/100)</f>
        <v>3123.691803291576</v>
      </c>
    </row>
    <row r="53" spans="2:5" s="18" customFormat="1" ht="15.75" customHeight="1">
      <c r="B53" s="53" t="s">
        <v>50</v>
      </c>
      <c r="C53" s="54">
        <f>(C30*C52)</f>
        <v>3123.691803291576</v>
      </c>
      <c r="E53" s="25"/>
    </row>
    <row r="54" spans="2:3" s="18" customFormat="1" ht="15.75" customHeight="1">
      <c r="B54" s="57"/>
      <c r="C54" s="57"/>
    </row>
    <row r="55" spans="2:12" s="58" customFormat="1" ht="15.75" customHeight="1">
      <c r="B55" s="149" t="s">
        <v>51</v>
      </c>
      <c r="C55" s="149"/>
      <c r="D55" s="18"/>
      <c r="E55" s="18"/>
      <c r="F55" s="18"/>
      <c r="G55" s="18"/>
      <c r="H55" s="18"/>
      <c r="I55" s="18"/>
      <c r="J55" s="18"/>
      <c r="K55" s="18"/>
      <c r="L55" s="18"/>
    </row>
    <row r="56" spans="2:3" ht="15.75" customHeight="1">
      <c r="B56" s="59" t="s">
        <v>52</v>
      </c>
      <c r="C56" s="60"/>
    </row>
    <row r="57" spans="2:3" ht="15.75" customHeight="1">
      <c r="B57" s="141" t="s">
        <v>53</v>
      </c>
      <c r="C57" s="141"/>
    </row>
    <row r="58" spans="2:3" ht="15.75" customHeight="1">
      <c r="B58" s="141" t="s">
        <v>54</v>
      </c>
      <c r="C58" s="141"/>
    </row>
    <row r="59" spans="2:3" ht="15.75" customHeight="1">
      <c r="B59" s="141" t="s">
        <v>55</v>
      </c>
      <c r="C59" s="141"/>
    </row>
    <row r="60" spans="2:3" ht="15.75" customHeight="1">
      <c r="B60" s="140" t="s">
        <v>56</v>
      </c>
      <c r="C60" s="140"/>
    </row>
    <row r="61" spans="2:3" ht="15.75" customHeight="1">
      <c r="B61" s="59" t="s">
        <v>57</v>
      </c>
      <c r="C61" s="60"/>
    </row>
    <row r="62" spans="2:3" ht="15.75" customHeight="1">
      <c r="B62" s="59" t="s">
        <v>58</v>
      </c>
      <c r="C62" s="60"/>
    </row>
    <row r="63" spans="2:3" ht="15.75" customHeight="1">
      <c r="B63" s="61" t="s">
        <v>59</v>
      </c>
      <c r="C63" s="62"/>
    </row>
    <row r="64" spans="2:3" ht="15.75" customHeight="1">
      <c r="B64" s="140" t="s">
        <v>60</v>
      </c>
      <c r="C64" s="140"/>
    </row>
    <row r="65" spans="2:3" ht="15.75" customHeight="1">
      <c r="B65" s="59" t="s">
        <v>61</v>
      </c>
      <c r="C65" s="60"/>
    </row>
    <row r="66" spans="2:3" ht="15.75" customHeight="1">
      <c r="B66" s="141" t="s">
        <v>62</v>
      </c>
      <c r="C66" s="141"/>
    </row>
    <row r="67" spans="2:3" ht="6" customHeight="1">
      <c r="B67" s="142" t="s">
        <v>63</v>
      </c>
      <c r="C67" s="142"/>
    </row>
    <row r="68" spans="2:3" ht="6" customHeight="1">
      <c r="B68" s="142"/>
      <c r="C68" s="142"/>
    </row>
    <row r="69" spans="2:3" ht="15.75" customHeight="1">
      <c r="B69" s="142"/>
      <c r="C69" s="142"/>
    </row>
  </sheetData>
  <sheetProtection selectLockedCells="1" selectUnlockedCells="1"/>
  <mergeCells count="16">
    <mergeCell ref="B2:C2"/>
    <mergeCell ref="B3:C3"/>
    <mergeCell ref="B4:C4"/>
    <mergeCell ref="B9:C9"/>
    <mergeCell ref="B15:C15"/>
    <mergeCell ref="B17:C17"/>
    <mergeCell ref="B60:C60"/>
    <mergeCell ref="B64:C64"/>
    <mergeCell ref="B66:C66"/>
    <mergeCell ref="B67:C69"/>
    <mergeCell ref="B23:B24"/>
    <mergeCell ref="C23:C24"/>
    <mergeCell ref="B55:C55"/>
    <mergeCell ref="B57:C57"/>
    <mergeCell ref="B58:C58"/>
    <mergeCell ref="B59:C5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54"/>
  <sheetViews>
    <sheetView view="pageBreakPreview" zoomScale="80" zoomScaleNormal="120" zoomScaleSheetLayoutView="80" zoomScalePageLayoutView="0" workbookViewId="0" topLeftCell="A1">
      <selection activeCell="C16" sqref="C16"/>
    </sheetView>
  </sheetViews>
  <sheetFormatPr defaultColWidth="9.140625" defaultRowHeight="17.25" customHeight="1"/>
  <cols>
    <col min="2" max="2" width="77.28125" style="0" customWidth="1"/>
    <col min="3" max="3" width="24.7109375" style="0" customWidth="1"/>
  </cols>
  <sheetData>
    <row r="2" spans="1:3" ht="17.25" customHeight="1">
      <c r="A2" s="65"/>
      <c r="B2" s="168" t="s">
        <v>0</v>
      </c>
      <c r="C2" s="168"/>
    </row>
    <row r="3" spans="1:3" ht="17.25" customHeight="1">
      <c r="A3" s="65"/>
      <c r="B3" s="169" t="s">
        <v>1</v>
      </c>
      <c r="C3" s="169"/>
    </row>
    <row r="4" spans="1:3" ht="17.25" customHeight="1">
      <c r="A4" s="65"/>
      <c r="B4" s="169" t="s">
        <v>91</v>
      </c>
      <c r="C4" s="169"/>
    </row>
    <row r="5" spans="1:3" ht="17.25" customHeight="1">
      <c r="A5" s="65"/>
      <c r="B5" s="66" t="s">
        <v>92</v>
      </c>
      <c r="C5" s="67">
        <v>1289.77</v>
      </c>
    </row>
    <row r="6" spans="1:3" ht="17.25" customHeight="1">
      <c r="A6" s="65"/>
      <c r="B6" s="66" t="s">
        <v>93</v>
      </c>
      <c r="C6" s="68">
        <v>0</v>
      </c>
    </row>
    <row r="7" spans="1:3" ht="17.25" customHeight="1">
      <c r="A7" s="65"/>
      <c r="B7" s="66" t="s">
        <v>94</v>
      </c>
      <c r="C7" s="68">
        <v>0</v>
      </c>
    </row>
    <row r="8" spans="1:3" ht="17.25" customHeight="1">
      <c r="A8" s="65"/>
      <c r="B8" s="69" t="s">
        <v>95</v>
      </c>
      <c r="C8" s="70">
        <v>1</v>
      </c>
    </row>
    <row r="9" spans="1:3" ht="17.25" customHeight="1">
      <c r="A9" s="65"/>
      <c r="B9" s="170" t="s">
        <v>96</v>
      </c>
      <c r="C9" s="170"/>
    </row>
    <row r="10" spans="1:3" ht="17.25" customHeight="1">
      <c r="A10" s="65"/>
      <c r="B10" s="71" t="s">
        <v>97</v>
      </c>
      <c r="C10" s="72">
        <v>20</v>
      </c>
    </row>
    <row r="11" spans="1:3" ht="17.25" customHeight="1">
      <c r="A11" s="65"/>
      <c r="B11" s="73" t="s">
        <v>98</v>
      </c>
      <c r="C11" s="74">
        <v>6</v>
      </c>
    </row>
    <row r="12" spans="1:3" ht="17.25" customHeight="1">
      <c r="A12" s="65"/>
      <c r="B12" s="66" t="s">
        <v>99</v>
      </c>
      <c r="C12" s="75">
        <v>20</v>
      </c>
    </row>
    <row r="13" spans="1:3" ht="17.25" customHeight="1">
      <c r="A13" s="65"/>
      <c r="B13" s="2" t="s">
        <v>10</v>
      </c>
      <c r="C13" s="11">
        <v>4.5</v>
      </c>
    </row>
    <row r="14" spans="1:3" ht="17.25" customHeight="1">
      <c r="A14" s="65"/>
      <c r="B14" s="5" t="s">
        <v>160</v>
      </c>
      <c r="C14" s="12">
        <v>0</v>
      </c>
    </row>
    <row r="15" spans="1:3" ht="17.25" customHeight="1">
      <c r="A15" s="65"/>
      <c r="B15" s="169" t="s">
        <v>12</v>
      </c>
      <c r="C15" s="169"/>
    </row>
    <row r="16" spans="1:3" ht="17.25" customHeight="1">
      <c r="A16" s="65"/>
      <c r="B16" s="71" t="s">
        <v>100</v>
      </c>
      <c r="C16" s="139">
        <v>0</v>
      </c>
    </row>
    <row r="17" spans="1:3" ht="17.25" customHeight="1">
      <c r="A17" s="65"/>
      <c r="B17" s="171" t="s">
        <v>14</v>
      </c>
      <c r="C17" s="171"/>
    </row>
    <row r="18" spans="1:3" ht="17.25" customHeight="1">
      <c r="A18" s="65"/>
      <c r="B18" s="76" t="s">
        <v>101</v>
      </c>
      <c r="C18" s="77">
        <v>5</v>
      </c>
    </row>
    <row r="19" spans="1:3" ht="17.25" customHeight="1">
      <c r="A19" s="65"/>
      <c r="B19" s="78"/>
      <c r="C19" s="79"/>
    </row>
    <row r="20" spans="1:3" ht="17.25" customHeight="1">
      <c r="A20" s="80"/>
      <c r="B20" s="81" t="s">
        <v>16</v>
      </c>
      <c r="C20" s="80"/>
    </row>
    <row r="21" spans="1:3" ht="17.25" customHeight="1">
      <c r="A21" s="80"/>
      <c r="B21" s="81" t="s">
        <v>102</v>
      </c>
      <c r="C21" s="82" t="s">
        <v>18</v>
      </c>
    </row>
    <row r="22" spans="1:3" ht="17.25" customHeight="1">
      <c r="A22" s="80"/>
      <c r="B22" s="83"/>
      <c r="C22" s="84"/>
    </row>
    <row r="23" spans="1:3" ht="17.25" customHeight="1">
      <c r="A23" s="80"/>
      <c r="B23" s="143" t="s">
        <v>19</v>
      </c>
      <c r="C23" s="143" t="s">
        <v>20</v>
      </c>
    </row>
    <row r="24" spans="1:3" ht="17.25" customHeight="1">
      <c r="A24" s="80"/>
      <c r="B24" s="143"/>
      <c r="C24" s="143"/>
    </row>
    <row r="25" spans="1:3" ht="17.25" customHeight="1">
      <c r="A25" s="80"/>
      <c r="B25" s="23" t="s">
        <v>21</v>
      </c>
      <c r="C25" s="24"/>
    </row>
    <row r="26" spans="1:3" ht="17.25" customHeight="1">
      <c r="A26" s="85"/>
      <c r="B26" s="26" t="s">
        <v>22</v>
      </c>
      <c r="C26" s="27">
        <f>C5</f>
        <v>1289.77</v>
      </c>
    </row>
    <row r="27" spans="1:3" ht="17.25" customHeight="1">
      <c r="A27" s="85"/>
      <c r="B27" s="26" t="s">
        <v>23</v>
      </c>
      <c r="C27" s="27">
        <f>C5*C6%</f>
        <v>0</v>
      </c>
    </row>
    <row r="28" spans="1:3" ht="17.25" customHeight="1">
      <c r="A28" s="85"/>
      <c r="B28" s="28" t="s">
        <v>24</v>
      </c>
      <c r="C28" s="29">
        <f>+C5*C7%</f>
        <v>0</v>
      </c>
    </row>
    <row r="29" spans="1:3" ht="17.25" customHeight="1">
      <c r="A29" s="80"/>
      <c r="B29" s="30" t="s">
        <v>25</v>
      </c>
      <c r="C29" s="31">
        <f>SUM(C26:C28)*0.7211</f>
        <v>930.053147</v>
      </c>
    </row>
    <row r="30" spans="1:3" ht="17.25" customHeight="1">
      <c r="A30" s="80"/>
      <c r="B30" s="32" t="s">
        <v>26</v>
      </c>
      <c r="C30" s="33">
        <f>C8</f>
        <v>1</v>
      </c>
    </row>
    <row r="31" spans="1:3" ht="17.25" customHeight="1">
      <c r="A31" s="80"/>
      <c r="B31" s="34" t="s">
        <v>27</v>
      </c>
      <c r="C31" s="35">
        <f>SUM(C26:C29)</f>
        <v>2219.823147</v>
      </c>
    </row>
    <row r="32" spans="1:3" ht="17.25" customHeight="1">
      <c r="A32" s="80"/>
      <c r="B32" s="36" t="s">
        <v>28</v>
      </c>
      <c r="C32" s="27"/>
    </row>
    <row r="33" spans="1:3" ht="17.25" customHeight="1">
      <c r="A33" s="80"/>
      <c r="B33" s="28" t="s">
        <v>29</v>
      </c>
      <c r="C33" s="27">
        <f>C10</f>
        <v>20</v>
      </c>
    </row>
    <row r="34" spans="1:3" ht="17.25" customHeight="1">
      <c r="A34" s="80"/>
      <c r="B34" s="30" t="s">
        <v>30</v>
      </c>
      <c r="C34" s="31">
        <f>($C$11*22)-(C26*0.06)</f>
        <v>54.6138</v>
      </c>
    </row>
    <row r="35" spans="1:3" ht="17.25" customHeight="1">
      <c r="A35" s="80"/>
      <c r="B35" s="30" t="s">
        <v>31</v>
      </c>
      <c r="C35" s="37">
        <f>$C$12*22</f>
        <v>440</v>
      </c>
    </row>
    <row r="36" spans="1:3" ht="17.25" customHeight="1">
      <c r="A36" s="80"/>
      <c r="B36" s="30" t="s">
        <v>32</v>
      </c>
      <c r="C36" s="31">
        <f>+C13</f>
        <v>4.5</v>
      </c>
    </row>
    <row r="37" spans="1:3" ht="17.25" customHeight="1">
      <c r="A37" s="80"/>
      <c r="B37" s="32" t="s">
        <v>33</v>
      </c>
      <c r="C37" s="38">
        <f>C14</f>
        <v>0</v>
      </c>
    </row>
    <row r="38" spans="1:3" ht="17.25" customHeight="1">
      <c r="A38" s="80"/>
      <c r="B38" s="34" t="s">
        <v>34</v>
      </c>
      <c r="C38" s="40">
        <f>SUM(C33:C37)</f>
        <v>519.1138</v>
      </c>
    </row>
    <row r="39" spans="1:3" ht="17.25" customHeight="1">
      <c r="A39" s="80"/>
      <c r="B39" s="36" t="s">
        <v>35</v>
      </c>
      <c r="C39" s="27"/>
    </row>
    <row r="40" spans="1:3" ht="17.25" customHeight="1">
      <c r="A40" s="80"/>
      <c r="B40" s="41" t="s">
        <v>36</v>
      </c>
      <c r="C40" s="42">
        <f>+C16</f>
        <v>0</v>
      </c>
    </row>
    <row r="41" spans="1:3" ht="17.25" customHeight="1">
      <c r="A41" s="80"/>
      <c r="B41" s="34" t="s">
        <v>37</v>
      </c>
      <c r="C41" s="43">
        <f>SUM(C40)</f>
        <v>0</v>
      </c>
    </row>
    <row r="42" spans="1:3" ht="17.25" customHeight="1">
      <c r="A42" s="80"/>
      <c r="B42" s="45" t="s">
        <v>38</v>
      </c>
      <c r="C42" s="46"/>
    </row>
    <row r="43" spans="1:3" ht="17.25" customHeight="1">
      <c r="A43" s="86"/>
      <c r="B43" s="30" t="s">
        <v>39</v>
      </c>
      <c r="C43" s="47">
        <f>(SUM($C$31+$C$38+$C$41))*5.31%</f>
        <v>145.4375518857</v>
      </c>
    </row>
    <row r="44" spans="1:3" ht="17.25" customHeight="1">
      <c r="A44" s="80"/>
      <c r="B44" s="32" t="s">
        <v>40</v>
      </c>
      <c r="C44" s="48">
        <f>(SUM($C$31+$C$38+$C$41+C43))*7.2%</f>
        <v>207.67496391977045</v>
      </c>
    </row>
    <row r="45" spans="1:3" ht="17.25" customHeight="1">
      <c r="A45" s="80"/>
      <c r="B45" s="34" t="s">
        <v>41</v>
      </c>
      <c r="C45" s="40">
        <f>SUM(C43:C44)</f>
        <v>353.1125158054705</v>
      </c>
    </row>
    <row r="46" spans="1:3" ht="17.25" customHeight="1">
      <c r="A46" s="80"/>
      <c r="B46" s="49" t="s">
        <v>42</v>
      </c>
      <c r="C46" s="50"/>
    </row>
    <row r="47" spans="1:3" ht="17.25" customHeight="1">
      <c r="A47" s="80"/>
      <c r="B47" s="28" t="s">
        <v>43</v>
      </c>
      <c r="C47" s="27">
        <f>$C$52*0.65%</f>
        <v>22.001446642841337</v>
      </c>
    </row>
    <row r="48" spans="1:3" ht="17.25" customHeight="1">
      <c r="A48" s="80"/>
      <c r="B48" s="30" t="s">
        <v>44</v>
      </c>
      <c r="C48" s="31">
        <f>$C$52*3%</f>
        <v>101.54513835157539</v>
      </c>
    </row>
    <row r="49" spans="1:3" ht="17.25" customHeight="1">
      <c r="A49" s="80"/>
      <c r="B49" s="52" t="s">
        <v>103</v>
      </c>
      <c r="C49" s="38">
        <f>$C$18%*C52</f>
        <v>169.24189725262568</v>
      </c>
    </row>
    <row r="50" spans="1:3" ht="17.25" customHeight="1">
      <c r="A50" s="80"/>
      <c r="B50" s="34" t="s">
        <v>47</v>
      </c>
      <c r="C50" s="40">
        <f>SUM(C47:C49)</f>
        <v>292.7884822470424</v>
      </c>
    </row>
    <row r="51" spans="1:3" ht="17.25" customHeight="1">
      <c r="A51" s="80"/>
      <c r="B51" s="53" t="s">
        <v>48</v>
      </c>
      <c r="C51" s="54">
        <f>SUM(C38,C41,C45,C50)</f>
        <v>1165.0147980525128</v>
      </c>
    </row>
    <row r="52" spans="1:3" ht="17.25" customHeight="1">
      <c r="A52" s="80"/>
      <c r="B52" s="55" t="s">
        <v>49</v>
      </c>
      <c r="C52" s="56">
        <f>SUM(C31,C38,C41,C45)/((100-(3.65+$C$18))/100)</f>
        <v>3384.837945052513</v>
      </c>
    </row>
    <row r="53" spans="1:3" ht="17.25" customHeight="1">
      <c r="A53" s="80"/>
      <c r="B53" s="87" t="s">
        <v>50</v>
      </c>
      <c r="C53" s="88">
        <f>C52*C8</f>
        <v>3384.837945052513</v>
      </c>
    </row>
    <row r="54" spans="1:3" ht="17.25" customHeight="1">
      <c r="A54" s="58"/>
      <c r="B54" s="89" t="s">
        <v>104</v>
      </c>
      <c r="C54" s="90">
        <f>C52/220</f>
        <v>15.385627022965968</v>
      </c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76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Normal="120" zoomScaleSheetLayoutView="100" zoomScalePageLayoutView="0" workbookViewId="0" topLeftCell="A1">
      <selection activeCell="B14" sqref="B14"/>
    </sheetView>
  </sheetViews>
  <sheetFormatPr defaultColWidth="9.140625" defaultRowHeight="14.25" customHeight="1"/>
  <cols>
    <col min="2" max="2" width="73.421875" style="0" customWidth="1"/>
    <col min="3" max="3" width="22.421875" style="0" customWidth="1"/>
  </cols>
  <sheetData>
    <row r="1" spans="1:3" ht="14.25" customHeight="1">
      <c r="A1" s="65"/>
      <c r="B1" s="65"/>
      <c r="C1" s="65"/>
    </row>
    <row r="2" spans="1:3" ht="14.25" customHeight="1">
      <c r="A2" s="65"/>
      <c r="B2" s="168" t="s">
        <v>0</v>
      </c>
      <c r="C2" s="168"/>
    </row>
    <row r="3" spans="1:3" ht="14.25" customHeight="1">
      <c r="A3" s="65"/>
      <c r="B3" s="169" t="s">
        <v>1</v>
      </c>
      <c r="C3" s="169"/>
    </row>
    <row r="4" spans="1:3" ht="14.25" customHeight="1">
      <c r="A4" s="65"/>
      <c r="B4" s="169" t="s">
        <v>91</v>
      </c>
      <c r="C4" s="169"/>
    </row>
    <row r="5" spans="1:3" ht="14.25" customHeight="1">
      <c r="A5" s="65"/>
      <c r="B5" s="66" t="s">
        <v>105</v>
      </c>
      <c r="C5" s="67">
        <v>1289.77</v>
      </c>
    </row>
    <row r="6" spans="1:3" ht="14.25" customHeight="1">
      <c r="A6" s="65"/>
      <c r="B6" s="66" t="s">
        <v>93</v>
      </c>
      <c r="C6" s="68">
        <v>0</v>
      </c>
    </row>
    <row r="7" spans="1:3" ht="14.25" customHeight="1">
      <c r="A7" s="65"/>
      <c r="B7" s="66" t="s">
        <v>94</v>
      </c>
      <c r="C7" s="68">
        <v>0</v>
      </c>
    </row>
    <row r="8" spans="1:3" ht="14.25" customHeight="1">
      <c r="A8" s="65"/>
      <c r="B8" s="69" t="s">
        <v>95</v>
      </c>
      <c r="C8" s="70">
        <v>1</v>
      </c>
    </row>
    <row r="9" spans="1:3" ht="14.25" customHeight="1">
      <c r="A9" s="65"/>
      <c r="B9" s="170" t="s">
        <v>96</v>
      </c>
      <c r="C9" s="170"/>
    </row>
    <row r="10" spans="1:3" ht="14.25" customHeight="1">
      <c r="A10" s="65"/>
      <c r="B10" s="71" t="s">
        <v>97</v>
      </c>
      <c r="C10" s="72">
        <v>20</v>
      </c>
    </row>
    <row r="11" spans="1:3" ht="14.25" customHeight="1">
      <c r="A11" s="65"/>
      <c r="B11" s="73" t="s">
        <v>98</v>
      </c>
      <c r="C11" s="74">
        <v>6</v>
      </c>
    </row>
    <row r="12" spans="1:3" ht="14.25" customHeight="1">
      <c r="A12" s="65"/>
      <c r="B12" s="66" t="s">
        <v>99</v>
      </c>
      <c r="C12" s="75">
        <v>20</v>
      </c>
    </row>
    <row r="13" spans="1:3" ht="14.25" customHeight="1">
      <c r="A13" s="65"/>
      <c r="B13" s="2" t="s">
        <v>10</v>
      </c>
      <c r="C13" s="11">
        <v>4.5</v>
      </c>
    </row>
    <row r="14" spans="1:3" ht="14.25" customHeight="1">
      <c r="A14" s="65"/>
      <c r="B14" s="5" t="s">
        <v>160</v>
      </c>
      <c r="C14" s="12">
        <v>0</v>
      </c>
    </row>
    <row r="15" spans="1:3" ht="14.25" customHeight="1">
      <c r="A15" s="65"/>
      <c r="B15" s="169" t="s">
        <v>12</v>
      </c>
      <c r="C15" s="169"/>
    </row>
    <row r="16" spans="1:3" ht="14.25" customHeight="1">
      <c r="A16" s="65"/>
      <c r="B16" s="71" t="s">
        <v>100</v>
      </c>
      <c r="C16" s="72">
        <v>0</v>
      </c>
    </row>
    <row r="17" spans="1:3" ht="14.25" customHeight="1">
      <c r="A17" s="65"/>
      <c r="B17" s="171" t="s">
        <v>14</v>
      </c>
      <c r="C17" s="171"/>
    </row>
    <row r="18" spans="1:3" ht="14.25" customHeight="1">
      <c r="A18" s="65"/>
      <c r="B18" s="76" t="s">
        <v>101</v>
      </c>
      <c r="C18" s="77">
        <v>5</v>
      </c>
    </row>
    <row r="19" spans="1:3" ht="14.25" customHeight="1">
      <c r="A19" s="65"/>
      <c r="B19" s="78"/>
      <c r="C19" s="79"/>
    </row>
    <row r="20" spans="1:3" ht="14.25" customHeight="1">
      <c r="A20" s="80"/>
      <c r="B20" s="81" t="s">
        <v>16</v>
      </c>
      <c r="C20" s="80"/>
    </row>
    <row r="21" spans="1:3" ht="14.25" customHeight="1">
      <c r="A21" s="80"/>
      <c r="B21" s="81" t="s">
        <v>106</v>
      </c>
      <c r="C21" s="82" t="s">
        <v>18</v>
      </c>
    </row>
    <row r="22" spans="1:3" ht="14.25" customHeight="1">
      <c r="A22" s="80"/>
      <c r="B22" s="83"/>
      <c r="C22" s="84"/>
    </row>
    <row r="23" spans="1:3" ht="14.25" customHeight="1">
      <c r="A23" s="80"/>
      <c r="B23" s="143" t="s">
        <v>19</v>
      </c>
      <c r="C23" s="143" t="s">
        <v>20</v>
      </c>
    </row>
    <row r="24" spans="1:3" ht="14.25" customHeight="1">
      <c r="A24" s="80"/>
      <c r="B24" s="143"/>
      <c r="C24" s="143"/>
    </row>
    <row r="25" spans="1:3" ht="14.25" customHeight="1">
      <c r="A25" s="80"/>
      <c r="B25" s="23" t="s">
        <v>21</v>
      </c>
      <c r="C25" s="24"/>
    </row>
    <row r="26" spans="1:3" ht="14.25" customHeight="1">
      <c r="A26" s="85"/>
      <c r="B26" s="26" t="s">
        <v>22</v>
      </c>
      <c r="C26" s="27">
        <f>C5</f>
        <v>1289.77</v>
      </c>
    </row>
    <row r="27" spans="1:3" ht="14.25" customHeight="1">
      <c r="A27" s="85"/>
      <c r="B27" s="26" t="s">
        <v>23</v>
      </c>
      <c r="C27" s="27">
        <f>C5*C6%</f>
        <v>0</v>
      </c>
    </row>
    <row r="28" spans="1:3" ht="14.25" customHeight="1">
      <c r="A28" s="85"/>
      <c r="B28" s="28" t="s">
        <v>24</v>
      </c>
      <c r="C28" s="29">
        <f>+C5*C7%</f>
        <v>0</v>
      </c>
    </row>
    <row r="29" spans="1:3" ht="14.25" customHeight="1">
      <c r="A29" s="80"/>
      <c r="B29" s="30" t="s">
        <v>25</v>
      </c>
      <c r="C29" s="31">
        <f>SUM(C26:C28)*0.7211</f>
        <v>930.053147</v>
      </c>
    </row>
    <row r="30" spans="1:3" ht="14.25" customHeight="1">
      <c r="A30" s="80"/>
      <c r="B30" s="32" t="s">
        <v>26</v>
      </c>
      <c r="C30" s="33">
        <f>C8</f>
        <v>1</v>
      </c>
    </row>
    <row r="31" spans="1:3" ht="14.25" customHeight="1">
      <c r="A31" s="80"/>
      <c r="B31" s="34" t="s">
        <v>27</v>
      </c>
      <c r="C31" s="35">
        <f>SUM(C26:C29)</f>
        <v>2219.823147</v>
      </c>
    </row>
    <row r="32" spans="1:3" ht="14.25" customHeight="1">
      <c r="A32" s="80"/>
      <c r="B32" s="36" t="s">
        <v>28</v>
      </c>
      <c r="C32" s="27"/>
    </row>
    <row r="33" spans="1:3" ht="14.25" customHeight="1">
      <c r="A33" s="80"/>
      <c r="B33" s="28" t="s">
        <v>29</v>
      </c>
      <c r="C33" s="27">
        <f>C10</f>
        <v>20</v>
      </c>
    </row>
    <row r="34" spans="1:3" ht="14.25" customHeight="1">
      <c r="A34" s="80"/>
      <c r="B34" s="30" t="s">
        <v>30</v>
      </c>
      <c r="C34" s="31">
        <f>($C$11*22)-(C26*0.06)</f>
        <v>54.6138</v>
      </c>
    </row>
    <row r="35" spans="1:3" ht="14.25" customHeight="1">
      <c r="A35" s="80"/>
      <c r="B35" s="30" t="s">
        <v>31</v>
      </c>
      <c r="C35" s="37">
        <f>$C$12*22</f>
        <v>440</v>
      </c>
    </row>
    <row r="36" spans="1:3" ht="14.25" customHeight="1">
      <c r="A36" s="80"/>
      <c r="B36" s="30" t="s">
        <v>32</v>
      </c>
      <c r="C36" s="31">
        <f>+C13</f>
        <v>4.5</v>
      </c>
    </row>
    <row r="37" spans="1:3" ht="14.25" customHeight="1">
      <c r="A37" s="80"/>
      <c r="B37" s="32" t="s">
        <v>33</v>
      </c>
      <c r="C37" s="38">
        <f>C14</f>
        <v>0</v>
      </c>
    </row>
    <row r="38" spans="1:3" ht="14.25" customHeight="1">
      <c r="A38" s="80"/>
      <c r="B38" s="34" t="s">
        <v>34</v>
      </c>
      <c r="C38" s="40">
        <f>SUM(C33:C37)</f>
        <v>519.1138</v>
      </c>
    </row>
    <row r="39" spans="1:3" ht="14.25" customHeight="1">
      <c r="A39" s="80"/>
      <c r="B39" s="36" t="s">
        <v>35</v>
      </c>
      <c r="C39" s="27"/>
    </row>
    <row r="40" spans="1:3" ht="14.25" customHeight="1">
      <c r="A40" s="80"/>
      <c r="B40" s="41" t="s">
        <v>36</v>
      </c>
      <c r="C40" s="42">
        <f>+C16</f>
        <v>0</v>
      </c>
    </row>
    <row r="41" spans="1:3" ht="14.25" customHeight="1">
      <c r="A41" s="80"/>
      <c r="B41" s="34" t="s">
        <v>37</v>
      </c>
      <c r="C41" s="43">
        <f>SUM(C40)</f>
        <v>0</v>
      </c>
    </row>
    <row r="42" spans="1:3" ht="19.5" customHeight="1">
      <c r="A42" s="80"/>
      <c r="B42" s="45" t="s">
        <v>38</v>
      </c>
      <c r="C42" s="46"/>
    </row>
    <row r="43" spans="1:3" ht="24" customHeight="1">
      <c r="A43" s="86"/>
      <c r="B43" s="30" t="s">
        <v>39</v>
      </c>
      <c r="C43" s="47">
        <f>(SUM($C$31+$C$38+$C$41))*5.31%</f>
        <v>145.4375518857</v>
      </c>
    </row>
    <row r="44" spans="1:3" ht="14.25" customHeight="1">
      <c r="A44" s="80"/>
      <c r="B44" s="32" t="s">
        <v>40</v>
      </c>
      <c r="C44" s="48">
        <f>(SUM($C$31+$C$38+$C$41+C43))*7.2%</f>
        <v>207.67496391977045</v>
      </c>
    </row>
    <row r="45" spans="1:3" ht="14.25" customHeight="1">
      <c r="A45" s="80"/>
      <c r="B45" s="34" t="s">
        <v>41</v>
      </c>
      <c r="C45" s="40">
        <f>SUM(C43:C44)</f>
        <v>353.1125158054705</v>
      </c>
    </row>
    <row r="46" spans="1:3" ht="14.25" customHeight="1">
      <c r="A46" s="80"/>
      <c r="B46" s="49" t="s">
        <v>42</v>
      </c>
      <c r="C46" s="50"/>
    </row>
    <row r="47" spans="1:3" ht="14.25" customHeight="1">
      <c r="A47" s="80"/>
      <c r="B47" s="28" t="s">
        <v>43</v>
      </c>
      <c r="C47" s="27">
        <f>$C$52*0.65%</f>
        <v>22.001446642841337</v>
      </c>
    </row>
    <row r="48" spans="1:3" ht="14.25" customHeight="1">
      <c r="A48" s="80"/>
      <c r="B48" s="30" t="s">
        <v>44</v>
      </c>
      <c r="C48" s="31">
        <f>$C$52*3%</f>
        <v>101.54513835157539</v>
      </c>
    </row>
    <row r="49" spans="1:3" ht="14.25" customHeight="1">
      <c r="A49" s="80"/>
      <c r="B49" s="52" t="s">
        <v>103</v>
      </c>
      <c r="C49" s="38">
        <f>$C$18%*C52</f>
        <v>169.24189725262568</v>
      </c>
    </row>
    <row r="50" spans="1:3" ht="14.25" customHeight="1">
      <c r="A50" s="80"/>
      <c r="B50" s="34" t="s">
        <v>47</v>
      </c>
      <c r="C50" s="40">
        <f>SUM(C47:C49)</f>
        <v>292.7884822470424</v>
      </c>
    </row>
    <row r="51" spans="1:3" ht="14.25" customHeight="1">
      <c r="A51" s="80"/>
      <c r="B51" s="53" t="s">
        <v>48</v>
      </c>
      <c r="C51" s="54">
        <f>SUM(C38,C41,C45,C50)</f>
        <v>1165.0147980525128</v>
      </c>
    </row>
    <row r="52" spans="1:3" ht="14.25" customHeight="1">
      <c r="A52" s="80"/>
      <c r="B52" s="55" t="s">
        <v>49</v>
      </c>
      <c r="C52" s="56">
        <f>SUM(C31,C38,C41,C45)/((100-(3.65+$C$18))/100)</f>
        <v>3384.837945052513</v>
      </c>
    </row>
    <row r="53" spans="1:3" ht="14.25" customHeight="1">
      <c r="A53" s="80"/>
      <c r="B53" s="87" t="s">
        <v>50</v>
      </c>
      <c r="C53" s="88">
        <f>(C30*C52)</f>
        <v>3384.837945052513</v>
      </c>
    </row>
    <row r="54" spans="1:3" ht="14.25" customHeight="1">
      <c r="A54" s="91"/>
      <c r="B54" s="92" t="s">
        <v>107</v>
      </c>
      <c r="C54" s="93">
        <f>C52/(SUM(C26:C28))</f>
        <v>2.624373295279401</v>
      </c>
    </row>
    <row r="55" spans="1:3" ht="14.25" customHeight="1">
      <c r="A55" s="58"/>
      <c r="B55" s="89" t="s">
        <v>104</v>
      </c>
      <c r="C55" s="90">
        <f>C53/220</f>
        <v>15.385627022965968</v>
      </c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Normal="110" zoomScaleSheetLayoutView="100" zoomScalePageLayoutView="0" workbookViewId="0" topLeftCell="A7">
      <selection activeCell="B14" sqref="B14"/>
    </sheetView>
  </sheetViews>
  <sheetFormatPr defaultColWidth="9.140625" defaultRowHeight="13.5" customHeight="1"/>
  <cols>
    <col min="2" max="2" width="76.140625" style="0" customWidth="1"/>
    <col min="3" max="3" width="19.00390625" style="0" customWidth="1"/>
  </cols>
  <sheetData>
    <row r="1" spans="1:3" ht="13.5" customHeight="1">
      <c r="A1" s="65"/>
      <c r="B1" s="65"/>
      <c r="C1" s="65"/>
    </row>
    <row r="2" spans="1:3" ht="13.5" customHeight="1">
      <c r="A2" s="65"/>
      <c r="B2" s="168" t="s">
        <v>0</v>
      </c>
      <c r="C2" s="168"/>
    </row>
    <row r="3" spans="1:3" ht="13.5" customHeight="1">
      <c r="A3" s="65"/>
      <c r="B3" s="169" t="s">
        <v>1</v>
      </c>
      <c r="C3" s="169"/>
    </row>
    <row r="4" spans="1:3" ht="13.5" customHeight="1">
      <c r="A4" s="65"/>
      <c r="B4" s="169" t="s">
        <v>91</v>
      </c>
      <c r="C4" s="169"/>
    </row>
    <row r="5" spans="1:3" ht="13.5" customHeight="1">
      <c r="A5" s="65"/>
      <c r="B5" s="66" t="s">
        <v>108</v>
      </c>
      <c r="C5" s="67">
        <v>1289.77</v>
      </c>
    </row>
    <row r="6" spans="1:3" ht="13.5" customHeight="1">
      <c r="A6" s="65"/>
      <c r="B6" s="66" t="s">
        <v>93</v>
      </c>
      <c r="C6" s="68">
        <v>0</v>
      </c>
    </row>
    <row r="7" spans="1:3" ht="13.5" customHeight="1">
      <c r="A7" s="65"/>
      <c r="B7" s="66" t="s">
        <v>94</v>
      </c>
      <c r="C7" s="68">
        <v>0</v>
      </c>
    </row>
    <row r="8" spans="1:3" ht="13.5" customHeight="1">
      <c r="A8" s="65"/>
      <c r="B8" s="69" t="s">
        <v>95</v>
      </c>
      <c r="C8" s="70">
        <v>1</v>
      </c>
    </row>
    <row r="9" spans="1:3" ht="13.5" customHeight="1">
      <c r="A9" s="65"/>
      <c r="B9" s="170" t="s">
        <v>96</v>
      </c>
      <c r="C9" s="170"/>
    </row>
    <row r="10" spans="1:3" ht="13.5" customHeight="1">
      <c r="A10" s="65"/>
      <c r="B10" s="71" t="s">
        <v>97</v>
      </c>
      <c r="C10" s="72">
        <v>20</v>
      </c>
    </row>
    <row r="11" spans="1:3" ht="13.5" customHeight="1">
      <c r="A11" s="65"/>
      <c r="B11" s="73" t="s">
        <v>98</v>
      </c>
      <c r="C11" s="74">
        <v>6</v>
      </c>
    </row>
    <row r="12" spans="1:3" ht="13.5" customHeight="1">
      <c r="A12" s="65"/>
      <c r="B12" s="66" t="s">
        <v>99</v>
      </c>
      <c r="C12" s="75">
        <v>20</v>
      </c>
    </row>
    <row r="13" spans="1:3" ht="13.5" customHeight="1">
      <c r="A13" s="65"/>
      <c r="B13" s="2" t="s">
        <v>10</v>
      </c>
      <c r="C13" s="11">
        <v>4.5</v>
      </c>
    </row>
    <row r="14" spans="1:3" ht="13.5" customHeight="1">
      <c r="A14" s="65"/>
      <c r="B14" s="5" t="s">
        <v>160</v>
      </c>
      <c r="C14" s="12">
        <v>0</v>
      </c>
    </row>
    <row r="15" spans="1:3" ht="13.5" customHeight="1">
      <c r="A15" s="65"/>
      <c r="B15" s="169" t="s">
        <v>12</v>
      </c>
      <c r="C15" s="169"/>
    </row>
    <row r="16" spans="1:3" ht="13.5" customHeight="1">
      <c r="A16" s="65"/>
      <c r="B16" s="71" t="s">
        <v>100</v>
      </c>
      <c r="C16" s="72">
        <v>0</v>
      </c>
    </row>
    <row r="17" spans="1:3" ht="13.5" customHeight="1">
      <c r="A17" s="65"/>
      <c r="B17" s="171" t="s">
        <v>14</v>
      </c>
      <c r="C17" s="171"/>
    </row>
    <row r="18" spans="1:3" ht="13.5" customHeight="1">
      <c r="A18" s="65"/>
      <c r="B18" s="76" t="s">
        <v>101</v>
      </c>
      <c r="C18" s="77">
        <v>5</v>
      </c>
    </row>
    <row r="19" spans="1:3" ht="13.5" customHeight="1">
      <c r="A19" s="65"/>
      <c r="B19" s="78"/>
      <c r="C19" s="79"/>
    </row>
    <row r="20" spans="1:3" ht="13.5" customHeight="1">
      <c r="A20" s="80"/>
      <c r="B20" s="81" t="s">
        <v>16</v>
      </c>
      <c r="C20" s="80"/>
    </row>
    <row r="21" spans="1:3" ht="13.5" customHeight="1">
      <c r="A21" s="80"/>
      <c r="B21" s="81" t="s">
        <v>109</v>
      </c>
      <c r="C21" s="82" t="s">
        <v>18</v>
      </c>
    </row>
    <row r="22" spans="1:3" ht="13.5" customHeight="1">
      <c r="A22" s="80"/>
      <c r="B22" s="83"/>
      <c r="C22" s="84"/>
    </row>
    <row r="23" spans="1:3" ht="13.5" customHeight="1">
      <c r="A23" s="80"/>
      <c r="B23" s="143" t="s">
        <v>19</v>
      </c>
      <c r="C23" s="143" t="s">
        <v>20</v>
      </c>
    </row>
    <row r="24" spans="1:3" ht="13.5" customHeight="1">
      <c r="A24" s="80"/>
      <c r="B24" s="143"/>
      <c r="C24" s="143"/>
    </row>
    <row r="25" spans="1:3" ht="13.5" customHeight="1">
      <c r="A25" s="80"/>
      <c r="B25" s="23" t="s">
        <v>21</v>
      </c>
      <c r="C25" s="24"/>
    </row>
    <row r="26" spans="1:3" ht="13.5" customHeight="1">
      <c r="A26" s="85"/>
      <c r="B26" s="26" t="s">
        <v>22</v>
      </c>
      <c r="C26" s="27">
        <f>C5</f>
        <v>1289.77</v>
      </c>
    </row>
    <row r="27" spans="1:3" ht="13.5" customHeight="1">
      <c r="A27" s="85"/>
      <c r="B27" s="26" t="s">
        <v>23</v>
      </c>
      <c r="C27" s="27">
        <f>C5*C6%</f>
        <v>0</v>
      </c>
    </row>
    <row r="28" spans="1:3" ht="13.5" customHeight="1">
      <c r="A28" s="85"/>
      <c r="B28" s="28" t="s">
        <v>24</v>
      </c>
      <c r="C28" s="29">
        <f>+C5*C7%</f>
        <v>0</v>
      </c>
    </row>
    <row r="29" spans="1:3" ht="13.5" customHeight="1">
      <c r="A29" s="80"/>
      <c r="B29" s="30" t="s">
        <v>25</v>
      </c>
      <c r="C29" s="31">
        <f>SUM(C26:C28)*0.7211</f>
        <v>930.053147</v>
      </c>
    </row>
    <row r="30" spans="1:3" ht="13.5" customHeight="1">
      <c r="A30" s="80"/>
      <c r="B30" s="32" t="s">
        <v>26</v>
      </c>
      <c r="C30" s="33">
        <f>C8</f>
        <v>1</v>
      </c>
    </row>
    <row r="31" spans="1:3" ht="13.5" customHeight="1">
      <c r="A31" s="80"/>
      <c r="B31" s="34" t="s">
        <v>27</v>
      </c>
      <c r="C31" s="35">
        <f>SUM(C26:C29)</f>
        <v>2219.823147</v>
      </c>
    </row>
    <row r="32" spans="1:3" ht="13.5" customHeight="1">
      <c r="A32" s="80"/>
      <c r="B32" s="36" t="s">
        <v>28</v>
      </c>
      <c r="C32" s="27"/>
    </row>
    <row r="33" spans="1:3" ht="13.5" customHeight="1">
      <c r="A33" s="80"/>
      <c r="B33" s="28" t="s">
        <v>29</v>
      </c>
      <c r="C33" s="27">
        <f>C10</f>
        <v>20</v>
      </c>
    </row>
    <row r="34" spans="1:3" ht="13.5" customHeight="1">
      <c r="A34" s="80"/>
      <c r="B34" s="30" t="s">
        <v>30</v>
      </c>
      <c r="C34" s="31">
        <f>($C$11*22)-(C26*0.06)</f>
        <v>54.6138</v>
      </c>
    </row>
    <row r="35" spans="1:3" ht="13.5" customHeight="1">
      <c r="A35" s="80"/>
      <c r="B35" s="30" t="s">
        <v>31</v>
      </c>
      <c r="C35" s="37">
        <f>$C$12*22</f>
        <v>440</v>
      </c>
    </row>
    <row r="36" spans="1:3" ht="13.5" customHeight="1">
      <c r="A36" s="80"/>
      <c r="B36" s="30" t="s">
        <v>32</v>
      </c>
      <c r="C36" s="31">
        <f>+C13</f>
        <v>4.5</v>
      </c>
    </row>
    <row r="37" spans="1:3" ht="13.5" customHeight="1">
      <c r="A37" s="80"/>
      <c r="B37" s="32" t="s">
        <v>33</v>
      </c>
      <c r="C37" s="38">
        <f>C14</f>
        <v>0</v>
      </c>
    </row>
    <row r="38" spans="1:3" ht="13.5" customHeight="1">
      <c r="A38" s="80"/>
      <c r="B38" s="34" t="s">
        <v>34</v>
      </c>
      <c r="C38" s="40">
        <f>SUM(C33:C37)</f>
        <v>519.1138</v>
      </c>
    </row>
    <row r="39" spans="1:3" ht="13.5" customHeight="1">
      <c r="A39" s="80"/>
      <c r="B39" s="36" t="s">
        <v>35</v>
      </c>
      <c r="C39" s="27"/>
    </row>
    <row r="40" spans="1:3" ht="13.5" customHeight="1">
      <c r="A40" s="80"/>
      <c r="B40" s="41" t="s">
        <v>36</v>
      </c>
      <c r="C40" s="42">
        <f>+C16</f>
        <v>0</v>
      </c>
    </row>
    <row r="41" spans="1:3" ht="13.5" customHeight="1">
      <c r="A41" s="80"/>
      <c r="B41" s="34" t="s">
        <v>37</v>
      </c>
      <c r="C41" s="43">
        <f>SUM(C40)</f>
        <v>0</v>
      </c>
    </row>
    <row r="42" spans="1:3" ht="13.5" customHeight="1">
      <c r="A42" s="80"/>
      <c r="B42" s="45" t="s">
        <v>38</v>
      </c>
      <c r="C42" s="46"/>
    </row>
    <row r="43" spans="1:3" ht="25.5" customHeight="1">
      <c r="A43" s="86"/>
      <c r="B43" s="30" t="s">
        <v>39</v>
      </c>
      <c r="C43" s="47">
        <f>(SUM($C$31+$C$38+$C$41))*5.31%</f>
        <v>145.4375518857</v>
      </c>
    </row>
    <row r="44" spans="1:3" ht="25.5" customHeight="1">
      <c r="A44" s="80"/>
      <c r="B44" s="32" t="s">
        <v>40</v>
      </c>
      <c r="C44" s="48">
        <f>(SUM($C$31+$C$38+$C$41+C43))*7.2%</f>
        <v>207.67496391977045</v>
      </c>
    </row>
    <row r="45" spans="1:3" ht="13.5" customHeight="1">
      <c r="A45" s="80"/>
      <c r="B45" s="34" t="s">
        <v>41</v>
      </c>
      <c r="C45" s="40">
        <f>SUM(C43:C44)</f>
        <v>353.1125158054705</v>
      </c>
    </row>
    <row r="46" spans="1:3" ht="13.5" customHeight="1">
      <c r="A46" s="80"/>
      <c r="B46" s="49" t="s">
        <v>42</v>
      </c>
      <c r="C46" s="50"/>
    </row>
    <row r="47" spans="1:3" ht="13.5" customHeight="1">
      <c r="A47" s="80"/>
      <c r="B47" s="28" t="s">
        <v>43</v>
      </c>
      <c r="C47" s="27">
        <f>$C$52*0.65%</f>
        <v>22.001446642841337</v>
      </c>
    </row>
    <row r="48" spans="1:3" ht="13.5" customHeight="1">
      <c r="A48" s="80"/>
      <c r="B48" s="30" t="s">
        <v>44</v>
      </c>
      <c r="C48" s="31">
        <f>$C$52*3%</f>
        <v>101.54513835157539</v>
      </c>
    </row>
    <row r="49" spans="1:3" ht="13.5" customHeight="1">
      <c r="A49" s="80"/>
      <c r="B49" s="52" t="s">
        <v>103</v>
      </c>
      <c r="C49" s="38">
        <f>$C$18%*C52</f>
        <v>169.24189725262568</v>
      </c>
    </row>
    <row r="50" spans="1:3" ht="13.5" customHeight="1">
      <c r="A50" s="80"/>
      <c r="B50" s="34" t="s">
        <v>47</v>
      </c>
      <c r="C50" s="40">
        <f>SUM(C47:C49)</f>
        <v>292.7884822470424</v>
      </c>
    </row>
    <row r="51" spans="1:3" ht="13.5" customHeight="1">
      <c r="A51" s="80"/>
      <c r="B51" s="53" t="s">
        <v>48</v>
      </c>
      <c r="C51" s="54">
        <f>SUM(C38,C41,C45,C50)</f>
        <v>1165.0147980525128</v>
      </c>
    </row>
    <row r="52" spans="1:3" ht="13.5" customHeight="1">
      <c r="A52" s="80"/>
      <c r="B52" s="55" t="s">
        <v>49</v>
      </c>
      <c r="C52" s="56">
        <f>SUM(C31,C38,C41,C45)/((100-(3.65+$C$18))/100)</f>
        <v>3384.837945052513</v>
      </c>
    </row>
    <row r="53" spans="1:3" ht="13.5" customHeight="1">
      <c r="A53" s="80"/>
      <c r="B53" s="87" t="s">
        <v>50</v>
      </c>
      <c r="C53" s="88">
        <f>(C30*C52)</f>
        <v>3384.837945052513</v>
      </c>
    </row>
    <row r="54" spans="1:3" ht="13.5" customHeight="1">
      <c r="A54" s="91"/>
      <c r="B54" s="92" t="s">
        <v>107</v>
      </c>
      <c r="C54" s="93">
        <f>C52/(SUM(C26:C28))</f>
        <v>2.624373295279401</v>
      </c>
    </row>
    <row r="55" spans="1:3" ht="13.5" customHeight="1">
      <c r="A55" s="58"/>
      <c r="B55" s="89" t="s">
        <v>104</v>
      </c>
      <c r="C55" s="90">
        <f>C53/220</f>
        <v>15.385627022965968</v>
      </c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7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120" zoomScaleNormal="110" zoomScaleSheetLayoutView="120" zoomScalePageLayoutView="0" workbookViewId="0" topLeftCell="A1">
      <selection activeCell="K43" sqref="K43"/>
    </sheetView>
  </sheetViews>
  <sheetFormatPr defaultColWidth="9.140625" defaultRowHeight="12.75" customHeight="1"/>
  <cols>
    <col min="2" max="2" width="70.57421875" style="0" customWidth="1"/>
    <col min="3" max="3" width="18.28125" style="0" customWidth="1"/>
  </cols>
  <sheetData>
    <row r="1" spans="1:3" ht="12.75" customHeight="1">
      <c r="A1" s="65"/>
      <c r="B1" s="65"/>
      <c r="C1" s="65"/>
    </row>
    <row r="2" spans="1:3" ht="12.75" customHeight="1">
      <c r="A2" s="65"/>
      <c r="B2" s="168" t="s">
        <v>0</v>
      </c>
      <c r="C2" s="168"/>
    </row>
    <row r="3" spans="1:3" ht="12.75" customHeight="1">
      <c r="A3" s="65"/>
      <c r="B3" s="169" t="s">
        <v>1</v>
      </c>
      <c r="C3" s="169"/>
    </row>
    <row r="4" spans="1:3" ht="12.75" customHeight="1">
      <c r="A4" s="65"/>
      <c r="B4" s="169" t="s">
        <v>91</v>
      </c>
      <c r="C4" s="169"/>
    </row>
    <row r="5" spans="1:3" ht="12.75" customHeight="1">
      <c r="A5" s="65"/>
      <c r="B5" s="66" t="s">
        <v>110</v>
      </c>
      <c r="C5" s="67">
        <v>1289.77</v>
      </c>
    </row>
    <row r="6" spans="1:3" ht="12.75" customHeight="1">
      <c r="A6" s="65"/>
      <c r="B6" s="66" t="s">
        <v>93</v>
      </c>
      <c r="C6" s="68">
        <v>0</v>
      </c>
    </row>
    <row r="7" spans="1:3" ht="12.75" customHeight="1">
      <c r="A7" s="65"/>
      <c r="B7" s="66" t="s">
        <v>94</v>
      </c>
      <c r="C7" s="68">
        <v>0</v>
      </c>
    </row>
    <row r="8" spans="1:3" ht="12.75" customHeight="1">
      <c r="A8" s="65"/>
      <c r="B8" s="69" t="s">
        <v>95</v>
      </c>
      <c r="C8" s="70">
        <v>1</v>
      </c>
    </row>
    <row r="9" spans="1:3" ht="12.75" customHeight="1">
      <c r="A9" s="65"/>
      <c r="B9" s="170" t="s">
        <v>96</v>
      </c>
      <c r="C9" s="170"/>
    </row>
    <row r="10" spans="1:3" ht="12.75" customHeight="1">
      <c r="A10" s="65"/>
      <c r="B10" s="71" t="s">
        <v>97</v>
      </c>
      <c r="C10" s="72">
        <v>20</v>
      </c>
    </row>
    <row r="11" spans="1:3" ht="12.75" customHeight="1">
      <c r="A11" s="65"/>
      <c r="B11" s="73" t="s">
        <v>98</v>
      </c>
      <c r="C11" s="74">
        <v>6</v>
      </c>
    </row>
    <row r="12" spans="1:3" ht="12.75" customHeight="1">
      <c r="A12" s="65"/>
      <c r="B12" s="66" t="s">
        <v>99</v>
      </c>
      <c r="C12" s="75">
        <v>20</v>
      </c>
    </row>
    <row r="13" spans="1:3" ht="12.75" customHeight="1">
      <c r="A13" s="65"/>
      <c r="B13" s="2" t="s">
        <v>10</v>
      </c>
      <c r="C13" s="11">
        <v>4.5</v>
      </c>
    </row>
    <row r="14" spans="1:3" ht="12.75" customHeight="1">
      <c r="A14" s="65"/>
      <c r="B14" s="5" t="s">
        <v>160</v>
      </c>
      <c r="C14" s="12">
        <v>0</v>
      </c>
    </row>
    <row r="15" spans="1:3" ht="12.75" customHeight="1">
      <c r="A15" s="65"/>
      <c r="B15" s="169" t="s">
        <v>12</v>
      </c>
      <c r="C15" s="169"/>
    </row>
    <row r="16" spans="1:3" ht="12.75" customHeight="1">
      <c r="A16" s="65"/>
      <c r="B16" s="71" t="s">
        <v>100</v>
      </c>
      <c r="C16" s="72">
        <v>0</v>
      </c>
    </row>
    <row r="17" spans="1:3" ht="12.75" customHeight="1">
      <c r="A17" s="65"/>
      <c r="B17" s="171" t="s">
        <v>14</v>
      </c>
      <c r="C17" s="171"/>
    </row>
    <row r="18" spans="1:3" ht="12.75" customHeight="1">
      <c r="A18" s="65"/>
      <c r="B18" s="76" t="s">
        <v>101</v>
      </c>
      <c r="C18" s="77">
        <v>5</v>
      </c>
    </row>
    <row r="19" spans="1:3" ht="12.75" customHeight="1">
      <c r="A19" s="65"/>
      <c r="B19" s="78"/>
      <c r="C19" s="79"/>
    </row>
    <row r="20" spans="1:3" ht="12.75" customHeight="1">
      <c r="A20" s="80"/>
      <c r="B20" s="81" t="s">
        <v>16</v>
      </c>
      <c r="C20" s="80"/>
    </row>
    <row r="21" spans="1:3" ht="12.75" customHeight="1">
      <c r="A21" s="80"/>
      <c r="B21" s="81" t="s">
        <v>111</v>
      </c>
      <c r="C21" s="82" t="s">
        <v>18</v>
      </c>
    </row>
    <row r="22" spans="1:3" ht="12.75" customHeight="1">
      <c r="A22" s="80"/>
      <c r="B22" s="83"/>
      <c r="C22" s="84"/>
    </row>
    <row r="23" spans="1:3" ht="12.75" customHeight="1">
      <c r="A23" s="80"/>
      <c r="B23" s="143" t="s">
        <v>19</v>
      </c>
      <c r="C23" s="143" t="s">
        <v>20</v>
      </c>
    </row>
    <row r="24" spans="1:3" ht="12.75" customHeight="1">
      <c r="A24" s="80"/>
      <c r="B24" s="143"/>
      <c r="C24" s="143"/>
    </row>
    <row r="25" spans="1:3" ht="12.75" customHeight="1">
      <c r="A25" s="80"/>
      <c r="B25" s="23" t="s">
        <v>21</v>
      </c>
      <c r="C25" s="24"/>
    </row>
    <row r="26" spans="1:3" ht="12.75" customHeight="1">
      <c r="A26" s="85"/>
      <c r="B26" s="26" t="s">
        <v>22</v>
      </c>
      <c r="C26" s="27">
        <f>C5</f>
        <v>1289.77</v>
      </c>
    </row>
    <row r="27" spans="1:3" ht="12.75" customHeight="1">
      <c r="A27" s="85"/>
      <c r="B27" s="26" t="s">
        <v>23</v>
      </c>
      <c r="C27" s="27">
        <f>C5*C6%</f>
        <v>0</v>
      </c>
    </row>
    <row r="28" spans="1:3" ht="12.75" customHeight="1">
      <c r="A28" s="85"/>
      <c r="B28" s="28" t="s">
        <v>24</v>
      </c>
      <c r="C28" s="29">
        <f>+C5*C7%</f>
        <v>0</v>
      </c>
    </row>
    <row r="29" spans="1:3" ht="12.75" customHeight="1">
      <c r="A29" s="80"/>
      <c r="B29" s="30" t="s">
        <v>25</v>
      </c>
      <c r="C29" s="31">
        <f>SUM(C26:C28)*0.7211</f>
        <v>930.053147</v>
      </c>
    </row>
    <row r="30" spans="1:3" ht="12.75" customHeight="1">
      <c r="A30" s="80"/>
      <c r="B30" s="32" t="s">
        <v>26</v>
      </c>
      <c r="C30" s="33">
        <f>C8</f>
        <v>1</v>
      </c>
    </row>
    <row r="31" spans="1:3" ht="12.75" customHeight="1">
      <c r="A31" s="80"/>
      <c r="B31" s="34" t="s">
        <v>27</v>
      </c>
      <c r="C31" s="35">
        <f>SUM(C26:C29)</f>
        <v>2219.823147</v>
      </c>
    </row>
    <row r="32" spans="1:3" ht="12.75" customHeight="1">
      <c r="A32" s="80"/>
      <c r="B32" s="36" t="s">
        <v>28</v>
      </c>
      <c r="C32" s="27"/>
    </row>
    <row r="33" spans="1:3" ht="12.75" customHeight="1">
      <c r="A33" s="80"/>
      <c r="B33" s="28" t="s">
        <v>29</v>
      </c>
      <c r="C33" s="27">
        <f>C10</f>
        <v>20</v>
      </c>
    </row>
    <row r="34" spans="1:3" ht="12.75" customHeight="1">
      <c r="A34" s="80"/>
      <c r="B34" s="30" t="s">
        <v>30</v>
      </c>
      <c r="C34" s="31">
        <f>($C$11*22)-(C26*0.06)</f>
        <v>54.6138</v>
      </c>
    </row>
    <row r="35" spans="1:3" ht="12.75" customHeight="1">
      <c r="A35" s="80"/>
      <c r="B35" s="30" t="s">
        <v>31</v>
      </c>
      <c r="C35" s="37">
        <f>$C$12*22</f>
        <v>440</v>
      </c>
    </row>
    <row r="36" spans="1:3" ht="12.75" customHeight="1">
      <c r="A36" s="80"/>
      <c r="B36" s="30" t="s">
        <v>32</v>
      </c>
      <c r="C36" s="31">
        <f>+C13</f>
        <v>4.5</v>
      </c>
    </row>
    <row r="37" spans="1:3" ht="12.75" customHeight="1">
      <c r="A37" s="80"/>
      <c r="B37" s="32" t="s">
        <v>33</v>
      </c>
      <c r="C37" s="38">
        <f>C14</f>
        <v>0</v>
      </c>
    </row>
    <row r="38" spans="1:3" ht="12.75" customHeight="1">
      <c r="A38" s="80"/>
      <c r="B38" s="34" t="s">
        <v>34</v>
      </c>
      <c r="C38" s="40">
        <f>SUM(C33:C37)</f>
        <v>519.1138</v>
      </c>
    </row>
    <row r="39" spans="1:3" ht="12.75" customHeight="1">
      <c r="A39" s="80"/>
      <c r="B39" s="36" t="s">
        <v>35</v>
      </c>
      <c r="C39" s="27"/>
    </row>
    <row r="40" spans="1:3" ht="12.75" customHeight="1">
      <c r="A40" s="80"/>
      <c r="B40" s="41" t="s">
        <v>36</v>
      </c>
      <c r="C40" s="42">
        <f>+C16</f>
        <v>0</v>
      </c>
    </row>
    <row r="41" spans="1:3" ht="12.75" customHeight="1">
      <c r="A41" s="80"/>
      <c r="B41" s="34" t="s">
        <v>37</v>
      </c>
      <c r="C41" s="43">
        <f>SUM(C40)</f>
        <v>0</v>
      </c>
    </row>
    <row r="42" spans="1:3" ht="12.75" customHeight="1">
      <c r="A42" s="80"/>
      <c r="B42" s="45" t="s">
        <v>38</v>
      </c>
      <c r="C42" s="46"/>
    </row>
    <row r="43" spans="1:3" ht="12.75" customHeight="1">
      <c r="A43" s="86"/>
      <c r="B43" s="30" t="s">
        <v>39</v>
      </c>
      <c r="C43" s="47">
        <f>(SUM($C$31+$C$38+$C$41))*5.31%</f>
        <v>145.4375518857</v>
      </c>
    </row>
    <row r="44" spans="1:3" ht="12.75" customHeight="1">
      <c r="A44" s="80"/>
      <c r="B44" s="32" t="s">
        <v>40</v>
      </c>
      <c r="C44" s="48">
        <f>(SUM($C$31+$C$38+$C$41+C43))*7.2%</f>
        <v>207.67496391977045</v>
      </c>
    </row>
    <row r="45" spans="1:3" ht="12.75" customHeight="1">
      <c r="A45" s="80"/>
      <c r="B45" s="34" t="s">
        <v>41</v>
      </c>
      <c r="C45" s="40">
        <f>SUM(C43:C44)</f>
        <v>353.1125158054705</v>
      </c>
    </row>
    <row r="46" spans="1:3" ht="12.75" customHeight="1">
      <c r="A46" s="80"/>
      <c r="B46" s="49" t="s">
        <v>42</v>
      </c>
      <c r="C46" s="50"/>
    </row>
    <row r="47" spans="1:3" ht="12.75" customHeight="1">
      <c r="A47" s="80"/>
      <c r="B47" s="28" t="s">
        <v>43</v>
      </c>
      <c r="C47" s="27">
        <f>$C$52*0.65%</f>
        <v>22.001446642841337</v>
      </c>
    </row>
    <row r="48" spans="1:3" ht="12.75" customHeight="1">
      <c r="A48" s="80"/>
      <c r="B48" s="30" t="s">
        <v>44</v>
      </c>
      <c r="C48" s="31">
        <f>$C$52*3%</f>
        <v>101.54513835157539</v>
      </c>
    </row>
    <row r="49" spans="1:3" ht="12.75" customHeight="1">
      <c r="A49" s="80"/>
      <c r="B49" s="52" t="s">
        <v>103</v>
      </c>
      <c r="C49" s="38">
        <f>$C$18%*C52</f>
        <v>169.24189725262568</v>
      </c>
    </row>
    <row r="50" spans="1:3" ht="12.75" customHeight="1">
      <c r="A50" s="80"/>
      <c r="B50" s="34" t="s">
        <v>47</v>
      </c>
      <c r="C50" s="40">
        <f>SUM(C47:C49)</f>
        <v>292.7884822470424</v>
      </c>
    </row>
    <row r="51" spans="1:3" ht="12.75" customHeight="1">
      <c r="A51" s="80"/>
      <c r="B51" s="53" t="s">
        <v>48</v>
      </c>
      <c r="C51" s="54">
        <f>SUM(C38,C41,C45,C50)</f>
        <v>1165.0147980525128</v>
      </c>
    </row>
    <row r="52" spans="1:3" ht="12.75" customHeight="1">
      <c r="A52" s="80"/>
      <c r="B52" s="55" t="s">
        <v>49</v>
      </c>
      <c r="C52" s="56">
        <f>SUM(C31,C38,C41,C45)/((100-(3.65+$C$18))/100)</f>
        <v>3384.837945052513</v>
      </c>
    </row>
    <row r="53" spans="1:3" ht="12.75" customHeight="1">
      <c r="A53" s="80"/>
      <c r="B53" s="87" t="s">
        <v>50</v>
      </c>
      <c r="C53" s="88">
        <f>(C30*C52)</f>
        <v>3384.837945052513</v>
      </c>
    </row>
    <row r="54" spans="1:3" ht="12.75" customHeight="1">
      <c r="A54" s="91"/>
      <c r="B54" s="92" t="s">
        <v>107</v>
      </c>
      <c r="C54" s="93">
        <f>C52/(SUM(C26:C28))</f>
        <v>2.624373295279401</v>
      </c>
    </row>
    <row r="55" spans="1:3" ht="12.75" customHeight="1">
      <c r="A55" s="58"/>
      <c r="B55" s="89" t="s">
        <v>104</v>
      </c>
      <c r="C55" s="90">
        <f>C53/220</f>
        <v>15.385627022965968</v>
      </c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055555555555" right="0.5118055555555555" top="0.7875" bottom="0.7875" header="0.5118055555555555" footer="0.5118055555555555"/>
  <pageSetup horizontalDpi="600" verticalDpi="600" orientation="portrait" paperSize="9" scale="9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120" zoomScaleNormal="110" zoomScaleSheetLayoutView="120" zoomScalePageLayoutView="0" workbookViewId="0" topLeftCell="A1">
      <selection activeCell="G20" sqref="G20"/>
    </sheetView>
  </sheetViews>
  <sheetFormatPr defaultColWidth="9.140625" defaultRowHeight="14.25" customHeight="1"/>
  <cols>
    <col min="1" max="1" width="6.140625" style="0" customWidth="1"/>
    <col min="2" max="2" width="73.140625" style="0" customWidth="1"/>
    <col min="3" max="3" width="18.28125" style="0" customWidth="1"/>
  </cols>
  <sheetData>
    <row r="1" spans="1:3" ht="14.25" customHeight="1">
      <c r="A1" s="65"/>
      <c r="B1" s="65"/>
      <c r="C1" s="65"/>
    </row>
    <row r="2" spans="1:3" ht="14.25" customHeight="1">
      <c r="A2" s="65"/>
      <c r="B2" s="168" t="s">
        <v>0</v>
      </c>
      <c r="C2" s="168"/>
    </row>
    <row r="3" spans="1:3" ht="14.25" customHeight="1">
      <c r="A3" s="65"/>
      <c r="B3" s="169" t="s">
        <v>1</v>
      </c>
      <c r="C3" s="169"/>
    </row>
    <row r="4" spans="1:3" ht="14.25" customHeight="1">
      <c r="A4" s="65"/>
      <c r="B4" s="169" t="s">
        <v>91</v>
      </c>
      <c r="C4" s="169"/>
    </row>
    <row r="5" spans="1:3" ht="14.25" customHeight="1">
      <c r="A5" s="65"/>
      <c r="B5" s="66" t="s">
        <v>161</v>
      </c>
      <c r="C5" s="67">
        <v>1289.77</v>
      </c>
    </row>
    <row r="6" spans="1:3" ht="14.25" customHeight="1">
      <c r="A6" s="65"/>
      <c r="B6" s="66" t="s">
        <v>93</v>
      </c>
      <c r="C6" s="68">
        <v>0</v>
      </c>
    </row>
    <row r="7" spans="1:3" ht="14.25" customHeight="1">
      <c r="A7" s="65"/>
      <c r="B7" s="66" t="s">
        <v>94</v>
      </c>
      <c r="C7" s="68">
        <v>0</v>
      </c>
    </row>
    <row r="8" spans="1:3" ht="14.25" customHeight="1">
      <c r="A8" s="65"/>
      <c r="B8" s="69" t="s">
        <v>95</v>
      </c>
      <c r="C8" s="70">
        <v>1</v>
      </c>
    </row>
    <row r="9" spans="1:3" ht="14.25" customHeight="1">
      <c r="A9" s="65"/>
      <c r="B9" s="170" t="s">
        <v>96</v>
      </c>
      <c r="C9" s="170"/>
    </row>
    <row r="10" spans="1:3" ht="14.25" customHeight="1">
      <c r="A10" s="65"/>
      <c r="B10" s="71" t="s">
        <v>97</v>
      </c>
      <c r="C10" s="72">
        <v>20</v>
      </c>
    </row>
    <row r="11" spans="1:3" ht="14.25" customHeight="1">
      <c r="A11" s="65"/>
      <c r="B11" s="73" t="s">
        <v>98</v>
      </c>
      <c r="C11" s="74">
        <v>6</v>
      </c>
    </row>
    <row r="12" spans="1:3" ht="14.25" customHeight="1">
      <c r="A12" s="65"/>
      <c r="B12" s="66" t="s">
        <v>99</v>
      </c>
      <c r="C12" s="75">
        <v>20</v>
      </c>
    </row>
    <row r="13" spans="1:3" ht="14.25" customHeight="1">
      <c r="A13" s="65"/>
      <c r="B13" s="2" t="s">
        <v>10</v>
      </c>
      <c r="C13" s="11">
        <v>4.5</v>
      </c>
    </row>
    <row r="14" spans="1:3" ht="14.25" customHeight="1">
      <c r="A14" s="65"/>
      <c r="B14" s="5" t="s">
        <v>160</v>
      </c>
      <c r="C14" s="12">
        <v>0</v>
      </c>
    </row>
    <row r="15" spans="1:3" ht="14.25" customHeight="1">
      <c r="A15" s="65"/>
      <c r="B15" s="169" t="s">
        <v>12</v>
      </c>
      <c r="C15" s="169"/>
    </row>
    <row r="16" spans="1:3" ht="14.25" customHeight="1">
      <c r="A16" s="65"/>
      <c r="B16" s="71" t="s">
        <v>100</v>
      </c>
      <c r="C16" s="72">
        <v>0</v>
      </c>
    </row>
    <row r="17" spans="1:3" ht="14.25" customHeight="1">
      <c r="A17" s="65"/>
      <c r="B17" s="171" t="s">
        <v>14</v>
      </c>
      <c r="C17" s="171"/>
    </row>
    <row r="18" spans="1:3" ht="14.25" customHeight="1">
      <c r="A18" s="65"/>
      <c r="B18" s="76" t="s">
        <v>101</v>
      </c>
      <c r="C18" s="77">
        <v>5</v>
      </c>
    </row>
    <row r="19" spans="1:3" ht="14.25" customHeight="1">
      <c r="A19" s="65"/>
      <c r="B19" s="78"/>
      <c r="C19" s="79"/>
    </row>
    <row r="20" spans="1:3" ht="14.25" customHeight="1">
      <c r="A20" s="80"/>
      <c r="B20" s="81" t="s">
        <v>16</v>
      </c>
      <c r="C20" s="80"/>
    </row>
    <row r="21" spans="1:3" ht="14.25" customHeight="1">
      <c r="A21" s="80"/>
      <c r="B21" s="81" t="s">
        <v>119</v>
      </c>
      <c r="C21" s="82" t="s">
        <v>18</v>
      </c>
    </row>
    <row r="22" spans="1:3" ht="14.25" customHeight="1">
      <c r="A22" s="80"/>
      <c r="B22" s="83"/>
      <c r="C22" s="84"/>
    </row>
    <row r="23" spans="1:3" ht="14.25" customHeight="1">
      <c r="A23" s="80"/>
      <c r="B23" s="143" t="s">
        <v>19</v>
      </c>
      <c r="C23" s="143" t="s">
        <v>20</v>
      </c>
    </row>
    <row r="24" spans="1:3" ht="14.25" customHeight="1">
      <c r="A24" s="80"/>
      <c r="B24" s="143"/>
      <c r="C24" s="143"/>
    </row>
    <row r="25" spans="1:3" ht="14.25" customHeight="1">
      <c r="A25" s="80"/>
      <c r="B25" s="23" t="s">
        <v>21</v>
      </c>
      <c r="C25" s="24"/>
    </row>
    <row r="26" spans="1:3" ht="14.25" customHeight="1">
      <c r="A26" s="85"/>
      <c r="B26" s="26" t="s">
        <v>22</v>
      </c>
      <c r="C26" s="27">
        <f>C5</f>
        <v>1289.77</v>
      </c>
    </row>
    <row r="27" spans="1:3" ht="14.25" customHeight="1">
      <c r="A27" s="85"/>
      <c r="B27" s="26" t="s">
        <v>23</v>
      </c>
      <c r="C27" s="27">
        <f>C5*C6%</f>
        <v>0</v>
      </c>
    </row>
    <row r="28" spans="1:3" ht="14.25" customHeight="1">
      <c r="A28" s="85"/>
      <c r="B28" s="28" t="s">
        <v>24</v>
      </c>
      <c r="C28" s="29">
        <f>+C5*C7%</f>
        <v>0</v>
      </c>
    </row>
    <row r="29" spans="1:3" ht="14.25" customHeight="1">
      <c r="A29" s="80"/>
      <c r="B29" s="30" t="s">
        <v>25</v>
      </c>
      <c r="C29" s="31">
        <f>SUM(C26:C28)*0.7211</f>
        <v>930.053147</v>
      </c>
    </row>
    <row r="30" spans="1:3" ht="14.25" customHeight="1">
      <c r="A30" s="80"/>
      <c r="B30" s="32" t="s">
        <v>26</v>
      </c>
      <c r="C30" s="33">
        <f>C8</f>
        <v>1</v>
      </c>
    </row>
    <row r="31" spans="1:3" ht="14.25" customHeight="1">
      <c r="A31" s="80"/>
      <c r="B31" s="34" t="s">
        <v>27</v>
      </c>
      <c r="C31" s="35">
        <f>SUM(C26:C29)</f>
        <v>2219.823147</v>
      </c>
    </row>
    <row r="32" spans="1:3" ht="14.25" customHeight="1">
      <c r="A32" s="80"/>
      <c r="B32" s="36" t="s">
        <v>28</v>
      </c>
      <c r="C32" s="27"/>
    </row>
    <row r="33" spans="1:3" ht="14.25" customHeight="1">
      <c r="A33" s="80"/>
      <c r="B33" s="28" t="s">
        <v>29</v>
      </c>
      <c r="C33" s="27">
        <f>C10</f>
        <v>20</v>
      </c>
    </row>
    <row r="34" spans="1:3" ht="14.25" customHeight="1">
      <c r="A34" s="80"/>
      <c r="B34" s="30" t="s">
        <v>30</v>
      </c>
      <c r="C34" s="31">
        <f>($C$11*22)-(C26*0.06)</f>
        <v>54.6138</v>
      </c>
    </row>
    <row r="35" spans="1:3" ht="14.25" customHeight="1">
      <c r="A35" s="80"/>
      <c r="B35" s="30" t="s">
        <v>31</v>
      </c>
      <c r="C35" s="37">
        <f>$C$12*22</f>
        <v>440</v>
      </c>
    </row>
    <row r="36" spans="1:3" ht="14.25" customHeight="1">
      <c r="A36" s="80"/>
      <c r="B36" s="30" t="s">
        <v>32</v>
      </c>
      <c r="C36" s="31">
        <f>+C13</f>
        <v>4.5</v>
      </c>
    </row>
    <row r="37" spans="1:3" ht="14.25" customHeight="1">
      <c r="A37" s="80"/>
      <c r="B37" s="32" t="s">
        <v>33</v>
      </c>
      <c r="C37" s="38">
        <f>C14</f>
        <v>0</v>
      </c>
    </row>
    <row r="38" spans="1:3" ht="14.25" customHeight="1">
      <c r="A38" s="80"/>
      <c r="B38" s="34" t="s">
        <v>34</v>
      </c>
      <c r="C38" s="40">
        <f>SUM(C33:C37)</f>
        <v>519.1138</v>
      </c>
    </row>
    <row r="39" spans="1:3" ht="14.25" customHeight="1">
      <c r="A39" s="80"/>
      <c r="B39" s="36" t="s">
        <v>35</v>
      </c>
      <c r="C39" s="27"/>
    </row>
    <row r="40" spans="1:3" ht="14.25" customHeight="1">
      <c r="A40" s="80"/>
      <c r="B40" s="41" t="s">
        <v>36</v>
      </c>
      <c r="C40" s="42">
        <f>+C16</f>
        <v>0</v>
      </c>
    </row>
    <row r="41" spans="1:3" ht="14.25" customHeight="1">
      <c r="A41" s="80"/>
      <c r="B41" s="34" t="s">
        <v>37</v>
      </c>
      <c r="C41" s="43">
        <f>SUM(C40)</f>
        <v>0</v>
      </c>
    </row>
    <row r="42" spans="1:3" ht="14.25" customHeight="1">
      <c r="A42" s="80"/>
      <c r="B42" s="45" t="s">
        <v>38</v>
      </c>
      <c r="C42" s="46"/>
    </row>
    <row r="43" spans="1:3" ht="14.25" customHeight="1">
      <c r="A43" s="86"/>
      <c r="B43" s="30" t="s">
        <v>39</v>
      </c>
      <c r="C43" s="47">
        <f>(SUM($C$31+$C$38+$C$41))*5.31%</f>
        <v>145.4375518857</v>
      </c>
    </row>
    <row r="44" spans="1:3" ht="14.25" customHeight="1">
      <c r="A44" s="80"/>
      <c r="B44" s="32" t="s">
        <v>40</v>
      </c>
      <c r="C44" s="48">
        <f>(SUM($C$31+$C$38+$C$41+C43))*7.2%</f>
        <v>207.67496391977045</v>
      </c>
    </row>
    <row r="45" spans="1:3" ht="14.25" customHeight="1">
      <c r="A45" s="80"/>
      <c r="B45" s="34" t="s">
        <v>41</v>
      </c>
      <c r="C45" s="40">
        <f>SUM(C43:C44)</f>
        <v>353.1125158054705</v>
      </c>
    </row>
    <row r="46" spans="1:3" ht="14.25" customHeight="1">
      <c r="A46" s="80"/>
      <c r="B46" s="49" t="s">
        <v>42</v>
      </c>
      <c r="C46" s="50"/>
    </row>
    <row r="47" spans="1:3" ht="14.25" customHeight="1">
      <c r="A47" s="80"/>
      <c r="B47" s="28" t="s">
        <v>43</v>
      </c>
      <c r="C47" s="27">
        <f>$C$52*0.65%</f>
        <v>22.001446642841337</v>
      </c>
    </row>
    <row r="48" spans="1:3" ht="14.25" customHeight="1">
      <c r="A48" s="80"/>
      <c r="B48" s="30" t="s">
        <v>44</v>
      </c>
      <c r="C48" s="31">
        <f>$C$52*3%</f>
        <v>101.54513835157539</v>
      </c>
    </row>
    <row r="49" spans="1:3" ht="14.25" customHeight="1">
      <c r="A49" s="80"/>
      <c r="B49" s="52" t="s">
        <v>103</v>
      </c>
      <c r="C49" s="38">
        <f>$C$18%*C52</f>
        <v>169.24189725262568</v>
      </c>
    </row>
    <row r="50" spans="1:3" ht="14.25" customHeight="1">
      <c r="A50" s="80"/>
      <c r="B50" s="34" t="s">
        <v>47</v>
      </c>
      <c r="C50" s="40">
        <f>SUM(C47:C49)</f>
        <v>292.7884822470424</v>
      </c>
    </row>
    <row r="51" spans="1:3" ht="14.25" customHeight="1">
      <c r="A51" s="80"/>
      <c r="B51" s="53" t="s">
        <v>48</v>
      </c>
      <c r="C51" s="54">
        <f>SUM(C38,C41,C45,C50)</f>
        <v>1165.0147980525128</v>
      </c>
    </row>
    <row r="52" spans="1:3" ht="14.25" customHeight="1">
      <c r="A52" s="80"/>
      <c r="B52" s="55" t="s">
        <v>49</v>
      </c>
      <c r="C52" s="56">
        <f>SUM(C31,C38,C41,C45)/((100-(3.65+$C$18))/100)</f>
        <v>3384.837945052513</v>
      </c>
    </row>
    <row r="53" spans="1:3" ht="14.25" customHeight="1">
      <c r="A53" s="80"/>
      <c r="B53" s="87" t="s">
        <v>50</v>
      </c>
      <c r="C53" s="88">
        <f>(C30*C52)</f>
        <v>3384.837945052513</v>
      </c>
    </row>
    <row r="54" spans="1:3" ht="14.25" customHeight="1">
      <c r="A54" s="91"/>
      <c r="B54" s="92" t="s">
        <v>107</v>
      </c>
      <c r="C54" s="93">
        <f>C52/(SUM(C26:C28))</f>
        <v>2.624373295279401</v>
      </c>
    </row>
    <row r="55" spans="1:3" ht="14.25" customHeight="1">
      <c r="A55" s="58"/>
      <c r="B55" s="89" t="s">
        <v>104</v>
      </c>
      <c r="C55" s="90">
        <f>C53/220</f>
        <v>15.385627022965968</v>
      </c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055555555555" right="0.5118055555555555" top="0.7875" bottom="0.7875" header="0.5118055555555555" footer="0.5118055555555555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view="pageBreakPreview" zoomScaleNormal="90" zoomScaleSheetLayoutView="100" zoomScalePageLayoutView="0" workbookViewId="0" topLeftCell="A13">
      <selection activeCell="D49" sqref="D49:D52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64</v>
      </c>
      <c r="C5" s="63">
        <v>873.6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/>
    </row>
    <row r="16" spans="2:3" ht="15.75" customHeight="1">
      <c r="B16" s="146" t="s">
        <v>12</v>
      </c>
      <c r="C16" s="146"/>
    </row>
    <row r="17" spans="2:3" ht="15.75" customHeight="1">
      <c r="B17" s="7" t="s">
        <v>154</v>
      </c>
      <c r="C17" s="121">
        <v>80.52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65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873.6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629.95296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1503.55296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</f>
        <v>79.584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557.534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80.52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80.52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113.71932957599999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162.38349284947202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276.102822425472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17.203189475386502</v>
      </c>
    </row>
    <row r="50" spans="2:4" s="18" customFormat="1" ht="15.75" customHeight="1">
      <c r="B50" s="30" t="s">
        <v>44</v>
      </c>
      <c r="C50" s="31">
        <f>$C$54*3%</f>
        <v>79.39933604024539</v>
      </c>
      <c r="D50" s="51"/>
    </row>
    <row r="51" spans="2:4" s="18" customFormat="1" ht="15.75" customHeight="1">
      <c r="B51" s="52" t="str">
        <f>(D50&amp;C19&amp;D51)</f>
        <v>5</v>
      </c>
      <c r="C51" s="38">
        <f>$C$19%*C54</f>
        <v>132.33222673374232</v>
      </c>
      <c r="D51" s="51"/>
    </row>
    <row r="52" spans="2:5" s="18" customFormat="1" ht="15.75" customHeight="1">
      <c r="B52" s="34" t="s">
        <v>47</v>
      </c>
      <c r="C52" s="40">
        <f>SUM(C49:C51)</f>
        <v>228.9347522493742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1143.0915746748462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2646.6445346748465</v>
      </c>
    </row>
    <row r="55" spans="2:5" s="18" customFormat="1" ht="15.75" customHeight="1">
      <c r="B55" s="53" t="s">
        <v>50</v>
      </c>
      <c r="C55" s="54">
        <f>(C31*C54)</f>
        <v>2646.6445346748465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6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120" zoomScaleNormal="130" zoomScaleSheetLayoutView="120" zoomScalePageLayoutView="0" workbookViewId="0" topLeftCell="A9">
      <selection activeCell="G38" sqref="G38"/>
    </sheetView>
  </sheetViews>
  <sheetFormatPr defaultColWidth="9.140625" defaultRowHeight="12.75" customHeight="1"/>
  <cols>
    <col min="2" max="2" width="68.28125" style="0" customWidth="1"/>
    <col min="3" max="3" width="18.421875" style="0" customWidth="1"/>
  </cols>
  <sheetData>
    <row r="1" spans="1:3" ht="12.75" customHeight="1">
      <c r="A1" s="65"/>
      <c r="B1" s="65"/>
      <c r="C1" s="65"/>
    </row>
    <row r="2" spans="1:3" ht="12.75" customHeight="1">
      <c r="A2" s="65"/>
      <c r="B2" s="168" t="s">
        <v>0</v>
      </c>
      <c r="C2" s="168"/>
    </row>
    <row r="3" spans="1:3" ht="12.75" customHeight="1">
      <c r="A3" s="65"/>
      <c r="B3" s="169" t="s">
        <v>1</v>
      </c>
      <c r="C3" s="169"/>
    </row>
    <row r="4" spans="1:3" ht="12.75" customHeight="1">
      <c r="A4" s="65"/>
      <c r="B4" s="169" t="s">
        <v>91</v>
      </c>
      <c r="C4" s="169"/>
    </row>
    <row r="5" spans="1:3" ht="12.75" customHeight="1">
      <c r="A5" s="65"/>
      <c r="B5" s="66" t="s">
        <v>112</v>
      </c>
      <c r="C5" s="67">
        <v>873.6</v>
      </c>
    </row>
    <row r="6" spans="1:3" ht="12.75" customHeight="1">
      <c r="A6" s="65"/>
      <c r="B6" s="66" t="s">
        <v>93</v>
      </c>
      <c r="C6" s="68">
        <v>0</v>
      </c>
    </row>
    <row r="7" spans="1:3" ht="12.75" customHeight="1">
      <c r="A7" s="65"/>
      <c r="B7" s="66" t="s">
        <v>94</v>
      </c>
      <c r="C7" s="68">
        <v>0</v>
      </c>
    </row>
    <row r="8" spans="1:3" ht="12.75" customHeight="1">
      <c r="A8" s="65"/>
      <c r="B8" s="69" t="s">
        <v>95</v>
      </c>
      <c r="C8" s="70">
        <v>1</v>
      </c>
    </row>
    <row r="9" spans="1:3" ht="12.75" customHeight="1">
      <c r="A9" s="65"/>
      <c r="B9" s="170" t="s">
        <v>96</v>
      </c>
      <c r="C9" s="170"/>
    </row>
    <row r="10" spans="1:3" ht="12.75" customHeight="1">
      <c r="A10" s="65"/>
      <c r="B10" s="71" t="s">
        <v>97</v>
      </c>
      <c r="C10" s="72">
        <v>20</v>
      </c>
    </row>
    <row r="11" spans="1:3" ht="12.75" customHeight="1">
      <c r="A11" s="65"/>
      <c r="B11" s="73" t="s">
        <v>98</v>
      </c>
      <c r="C11" s="74">
        <v>6</v>
      </c>
    </row>
    <row r="12" spans="1:3" ht="12.75" customHeight="1">
      <c r="A12" s="65"/>
      <c r="B12" s="66" t="s">
        <v>99</v>
      </c>
      <c r="C12" s="75">
        <v>20</v>
      </c>
    </row>
    <row r="13" spans="1:3" ht="12.75" customHeight="1">
      <c r="A13" s="65"/>
      <c r="B13" s="2" t="s">
        <v>10</v>
      </c>
      <c r="C13" s="11">
        <v>4.5</v>
      </c>
    </row>
    <row r="14" spans="1:3" ht="12.75" customHeight="1">
      <c r="A14" s="65"/>
      <c r="B14" s="5" t="s">
        <v>160</v>
      </c>
      <c r="C14" s="12">
        <v>0</v>
      </c>
    </row>
    <row r="15" spans="1:3" ht="12.75" customHeight="1">
      <c r="A15" s="65"/>
      <c r="B15" s="169" t="s">
        <v>12</v>
      </c>
      <c r="C15" s="169"/>
    </row>
    <row r="16" spans="1:3" ht="12.75" customHeight="1">
      <c r="A16" s="65"/>
      <c r="B16" s="71" t="s">
        <v>100</v>
      </c>
      <c r="C16" s="139">
        <v>0</v>
      </c>
    </row>
    <row r="17" spans="1:3" ht="12.75" customHeight="1">
      <c r="A17" s="65"/>
      <c r="B17" s="171" t="s">
        <v>14</v>
      </c>
      <c r="C17" s="171"/>
    </row>
    <row r="18" spans="1:3" ht="12.75" customHeight="1">
      <c r="A18" s="65"/>
      <c r="B18" s="76" t="s">
        <v>101</v>
      </c>
      <c r="C18" s="77">
        <v>5</v>
      </c>
    </row>
    <row r="19" spans="1:3" ht="12.75" customHeight="1">
      <c r="A19" s="65"/>
      <c r="B19" s="78"/>
      <c r="C19" s="79"/>
    </row>
    <row r="20" spans="1:3" ht="12.75" customHeight="1">
      <c r="A20" s="80"/>
      <c r="B20" s="81" t="s">
        <v>16</v>
      </c>
      <c r="C20" s="80"/>
    </row>
    <row r="21" spans="1:3" ht="12.75" customHeight="1">
      <c r="A21" s="80"/>
      <c r="B21" s="81" t="s">
        <v>113</v>
      </c>
      <c r="C21" s="82" t="s">
        <v>18</v>
      </c>
    </row>
    <row r="22" spans="1:3" ht="12.75" customHeight="1">
      <c r="A22" s="80"/>
      <c r="B22" s="83"/>
      <c r="C22" s="84"/>
    </row>
    <row r="23" spans="1:3" ht="12.75" customHeight="1">
      <c r="A23" s="80"/>
      <c r="B23" s="143" t="s">
        <v>19</v>
      </c>
      <c r="C23" s="143" t="s">
        <v>20</v>
      </c>
    </row>
    <row r="24" spans="1:3" ht="12.75" customHeight="1">
      <c r="A24" s="80"/>
      <c r="B24" s="143"/>
      <c r="C24" s="143"/>
    </row>
    <row r="25" spans="1:3" ht="12.75" customHeight="1">
      <c r="A25" s="80"/>
      <c r="B25" s="23" t="s">
        <v>21</v>
      </c>
      <c r="C25" s="24"/>
    </row>
    <row r="26" spans="1:3" ht="12.75" customHeight="1">
      <c r="A26" s="85"/>
      <c r="B26" s="26" t="s">
        <v>22</v>
      </c>
      <c r="C26" s="27">
        <f>C5</f>
        <v>873.6</v>
      </c>
    </row>
    <row r="27" spans="1:3" ht="12.75" customHeight="1">
      <c r="A27" s="85"/>
      <c r="B27" s="26" t="s">
        <v>23</v>
      </c>
      <c r="C27" s="27">
        <f>C5*C6%</f>
        <v>0</v>
      </c>
    </row>
    <row r="28" spans="1:3" ht="12.75" customHeight="1">
      <c r="A28" s="85"/>
      <c r="B28" s="28" t="s">
        <v>24</v>
      </c>
      <c r="C28" s="29">
        <f>+C5*C7%</f>
        <v>0</v>
      </c>
    </row>
    <row r="29" spans="1:3" ht="12.75" customHeight="1">
      <c r="A29" s="80"/>
      <c r="B29" s="30" t="s">
        <v>25</v>
      </c>
      <c r="C29" s="31">
        <f>SUM(C26:C28)*0.7211</f>
        <v>629.95296</v>
      </c>
    </row>
    <row r="30" spans="1:3" ht="12.75" customHeight="1">
      <c r="A30" s="80"/>
      <c r="B30" s="32" t="s">
        <v>26</v>
      </c>
      <c r="C30" s="33">
        <f>C8</f>
        <v>1</v>
      </c>
    </row>
    <row r="31" spans="1:3" ht="12.75" customHeight="1">
      <c r="A31" s="80"/>
      <c r="B31" s="34" t="s">
        <v>27</v>
      </c>
      <c r="C31" s="35">
        <f>SUM(C26:C29)</f>
        <v>1503.55296</v>
      </c>
    </row>
    <row r="32" spans="1:3" ht="12.75" customHeight="1">
      <c r="A32" s="80"/>
      <c r="B32" s="36" t="s">
        <v>28</v>
      </c>
      <c r="C32" s="27"/>
    </row>
    <row r="33" spans="1:3" ht="12.75" customHeight="1">
      <c r="A33" s="80"/>
      <c r="B33" s="28" t="s">
        <v>29</v>
      </c>
      <c r="C33" s="27">
        <f>C10</f>
        <v>20</v>
      </c>
    </row>
    <row r="34" spans="1:3" ht="12.75" customHeight="1">
      <c r="A34" s="80"/>
      <c r="B34" s="30" t="s">
        <v>30</v>
      </c>
      <c r="C34" s="31">
        <f>($C$11*22)-(C26*0.06)</f>
        <v>79.584</v>
      </c>
    </row>
    <row r="35" spans="1:3" ht="12.75" customHeight="1">
      <c r="A35" s="80"/>
      <c r="B35" s="30" t="s">
        <v>31</v>
      </c>
      <c r="C35" s="37">
        <f>$C$12*22</f>
        <v>440</v>
      </c>
    </row>
    <row r="36" spans="1:3" ht="12.75" customHeight="1">
      <c r="A36" s="80"/>
      <c r="B36" s="30" t="s">
        <v>32</v>
      </c>
      <c r="C36" s="31">
        <f>+C13</f>
        <v>4.5</v>
      </c>
    </row>
    <row r="37" spans="1:3" ht="12.75" customHeight="1">
      <c r="A37" s="80"/>
      <c r="B37" s="32" t="s">
        <v>33</v>
      </c>
      <c r="C37" s="38">
        <f>C14</f>
        <v>0</v>
      </c>
    </row>
    <row r="38" spans="1:3" ht="12.75" customHeight="1">
      <c r="A38" s="80"/>
      <c r="B38" s="34" t="s">
        <v>34</v>
      </c>
      <c r="C38" s="40">
        <f>SUM(C33:C37)</f>
        <v>544.0840000000001</v>
      </c>
    </row>
    <row r="39" spans="1:3" ht="12.75" customHeight="1">
      <c r="A39" s="80"/>
      <c r="B39" s="36" t="s">
        <v>35</v>
      </c>
      <c r="C39" s="27"/>
    </row>
    <row r="40" spans="1:3" ht="12.75" customHeight="1">
      <c r="A40" s="80"/>
      <c r="B40" s="41" t="s">
        <v>36</v>
      </c>
      <c r="C40" s="42">
        <f>+C16</f>
        <v>0</v>
      </c>
    </row>
    <row r="41" spans="1:3" ht="12.75" customHeight="1">
      <c r="A41" s="80"/>
      <c r="B41" s="34" t="s">
        <v>37</v>
      </c>
      <c r="C41" s="43">
        <f>SUM(C40)</f>
        <v>0</v>
      </c>
    </row>
    <row r="42" spans="1:3" ht="12.75" customHeight="1">
      <c r="A42" s="80"/>
      <c r="B42" s="45" t="s">
        <v>38</v>
      </c>
      <c r="C42" s="46"/>
    </row>
    <row r="43" spans="1:3" ht="12.75" customHeight="1">
      <c r="A43" s="86"/>
      <c r="B43" s="30" t="s">
        <v>39</v>
      </c>
      <c r="C43" s="47">
        <f>(SUM($C$31+$C$38+$C$41))*5.31%</f>
        <v>108.729522576</v>
      </c>
    </row>
    <row r="44" spans="1:3" ht="12.75" customHeight="1">
      <c r="A44" s="80"/>
      <c r="B44" s="32" t="s">
        <v>40</v>
      </c>
      <c r="C44" s="48">
        <f>(SUM($C$31+$C$38+$C$41+C43))*7.2%</f>
        <v>155.25838674547202</v>
      </c>
    </row>
    <row r="45" spans="1:3" ht="12.75" customHeight="1">
      <c r="A45" s="80"/>
      <c r="B45" s="34" t="s">
        <v>41</v>
      </c>
      <c r="C45" s="40">
        <f>SUM(C43:C44)</f>
        <v>263.987909321472</v>
      </c>
    </row>
    <row r="46" spans="1:3" ht="12.75" customHeight="1">
      <c r="A46" s="80"/>
      <c r="B46" s="49" t="s">
        <v>42</v>
      </c>
      <c r="C46" s="50"/>
    </row>
    <row r="47" spans="1:3" ht="12.75" customHeight="1">
      <c r="A47" s="80"/>
      <c r="B47" s="28" t="s">
        <v>43</v>
      </c>
      <c r="C47" s="27">
        <f>$C$52*0.65%</f>
        <v>16.448343350399092</v>
      </c>
    </row>
    <row r="48" spans="1:3" ht="12.75" customHeight="1">
      <c r="A48" s="80"/>
      <c r="B48" s="30" t="s">
        <v>44</v>
      </c>
      <c r="C48" s="31">
        <f>$C$52*3%</f>
        <v>75.9154308479958</v>
      </c>
    </row>
    <row r="49" spans="1:3" ht="12.75" customHeight="1">
      <c r="A49" s="80"/>
      <c r="B49" s="52" t="s">
        <v>103</v>
      </c>
      <c r="C49" s="38">
        <f>$C$18%*C52</f>
        <v>126.525718079993</v>
      </c>
    </row>
    <row r="50" spans="1:3" ht="12.75" customHeight="1">
      <c r="A50" s="80"/>
      <c r="B50" s="34" t="s">
        <v>47</v>
      </c>
      <c r="C50" s="40">
        <f>SUM(C47:C49)</f>
        <v>218.88949227838788</v>
      </c>
    </row>
    <row r="51" spans="1:3" ht="12.75" customHeight="1">
      <c r="A51" s="80"/>
      <c r="B51" s="53" t="s">
        <v>48</v>
      </c>
      <c r="C51" s="54">
        <f>SUM(C38,C41,C45,C50)</f>
        <v>1026.96140159986</v>
      </c>
    </row>
    <row r="52" spans="1:3" ht="12.75" customHeight="1">
      <c r="A52" s="80"/>
      <c r="B52" s="55" t="s">
        <v>49</v>
      </c>
      <c r="C52" s="56">
        <f>SUM(C31,C38,C41,C45)/((100-(3.65+$C$18))/100)</f>
        <v>2530.51436159986</v>
      </c>
    </row>
    <row r="53" spans="1:3" ht="12.75" customHeight="1">
      <c r="A53" s="80"/>
      <c r="B53" s="87" t="s">
        <v>50</v>
      </c>
      <c r="C53" s="88">
        <f>(C30*C52)</f>
        <v>2530.51436159986</v>
      </c>
    </row>
    <row r="54" spans="1:3" ht="12.75" customHeight="1">
      <c r="A54" s="91"/>
      <c r="B54" s="92" t="s">
        <v>107</v>
      </c>
      <c r="C54" s="93">
        <f>C52/(SUM(C26:C28))</f>
        <v>2.8966510549448947</v>
      </c>
    </row>
    <row r="55" spans="1:3" ht="12.75" customHeight="1">
      <c r="A55" s="58"/>
      <c r="B55" s="89" t="s">
        <v>104</v>
      </c>
      <c r="C55" s="90">
        <f>C53/220</f>
        <v>11.50233800727209</v>
      </c>
    </row>
  </sheetData>
  <sheetProtection selectLockedCells="1" selectUnlockedCells="1"/>
  <mergeCells count="8">
    <mergeCell ref="B23:B24"/>
    <mergeCell ref="C23:C24"/>
    <mergeCell ref="B2:C2"/>
    <mergeCell ref="B3:C3"/>
    <mergeCell ref="B4:C4"/>
    <mergeCell ref="B9:C9"/>
    <mergeCell ref="B15:C15"/>
    <mergeCell ref="B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Normal="167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25.7109375" style="0" customWidth="1"/>
    <col min="2" max="2" width="14.28125" style="0" customWidth="1"/>
    <col min="3" max="3" width="11.7109375" style="0" customWidth="1"/>
    <col min="4" max="4" width="18.28125" style="0" customWidth="1"/>
    <col min="5" max="5" width="13.00390625" style="0" customWidth="1"/>
  </cols>
  <sheetData>
    <row r="1" spans="1:5" ht="38.25">
      <c r="A1" s="94" t="s">
        <v>114</v>
      </c>
      <c r="B1" s="95" t="s">
        <v>115</v>
      </c>
      <c r="C1" s="96" t="s">
        <v>116</v>
      </c>
      <c r="D1" s="97" t="s">
        <v>117</v>
      </c>
      <c r="E1" s="97" t="s">
        <v>118</v>
      </c>
    </row>
    <row r="2" spans="1:5" ht="12.75">
      <c r="A2" s="98" t="s">
        <v>102</v>
      </c>
      <c r="B2" s="99">
        <v>1</v>
      </c>
      <c r="C2" s="100">
        <f>Pedreiro!C54</f>
        <v>15.385627022965968</v>
      </c>
      <c r="D2" s="124">
        <v>70</v>
      </c>
      <c r="E2" s="101">
        <f aca="true" t="shared" si="0" ref="E2:E7">C2*D2</f>
        <v>1076.9938916076178</v>
      </c>
    </row>
    <row r="3" spans="1:5" ht="12.75">
      <c r="A3" s="98" t="s">
        <v>106</v>
      </c>
      <c r="B3" s="99">
        <v>1</v>
      </c>
      <c r="C3" s="100">
        <f>Pintor!C55</f>
        <v>15.385627022965968</v>
      </c>
      <c r="D3" s="124">
        <v>500</v>
      </c>
      <c r="E3" s="101">
        <f t="shared" si="0"/>
        <v>7692.813511482984</v>
      </c>
    </row>
    <row r="4" spans="1:5" ht="12.75">
      <c r="A4" s="98" t="s">
        <v>109</v>
      </c>
      <c r="B4" s="99">
        <v>1</v>
      </c>
      <c r="C4" s="100">
        <f>Marceneiro!C55</f>
        <v>15.385627022965968</v>
      </c>
      <c r="D4" s="124">
        <v>500</v>
      </c>
      <c r="E4" s="101">
        <f t="shared" si="0"/>
        <v>7692.813511482984</v>
      </c>
    </row>
    <row r="5" spans="1:5" ht="12.75">
      <c r="A5" s="98" t="s">
        <v>111</v>
      </c>
      <c r="B5" s="99">
        <v>1</v>
      </c>
      <c r="C5" s="100">
        <f>Serralheiro!C55</f>
        <v>15.385627022965968</v>
      </c>
      <c r="D5" s="124">
        <v>50</v>
      </c>
      <c r="E5" s="101">
        <f t="shared" si="0"/>
        <v>769.2813511482984</v>
      </c>
    </row>
    <row r="6" spans="1:5" ht="12.75">
      <c r="A6" s="98" t="s">
        <v>119</v>
      </c>
      <c r="B6" s="99">
        <v>1</v>
      </c>
      <c r="C6" s="100">
        <f>Vidraceiro!C55</f>
        <v>15.385627022965968</v>
      </c>
      <c r="D6" s="124">
        <v>20</v>
      </c>
      <c r="E6" s="101">
        <f t="shared" si="0"/>
        <v>307.71254045931937</v>
      </c>
    </row>
    <row r="7" spans="1:5" ht="12.75">
      <c r="A7" s="98" t="s">
        <v>158</v>
      </c>
      <c r="B7" s="102">
        <v>1</v>
      </c>
      <c r="C7" s="103">
        <f>'Aj. Serviços Gerais'!C55</f>
        <v>11.50233800727209</v>
      </c>
      <c r="D7" s="125">
        <v>900</v>
      </c>
      <c r="E7" s="101">
        <f t="shared" si="0"/>
        <v>10352.104206544882</v>
      </c>
    </row>
    <row r="8" spans="1:5" ht="12.75" customHeight="1">
      <c r="A8" s="172" t="s">
        <v>120</v>
      </c>
      <c r="B8" s="172"/>
      <c r="C8" s="172"/>
      <c r="D8" s="172"/>
      <c r="E8" s="101">
        <f>E2+E3+E4+E5+E6+E7</f>
        <v>27891.719012726087</v>
      </c>
    </row>
  </sheetData>
  <sheetProtection selectLockedCells="1" selectUnlockedCells="1"/>
  <mergeCells count="1">
    <mergeCell ref="A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167" zoomScaleSheetLayoutView="100" zoomScalePageLayoutView="0" workbookViewId="0" topLeftCell="A1">
      <selection activeCell="E17" sqref="E17"/>
    </sheetView>
  </sheetViews>
  <sheetFormatPr defaultColWidth="9.140625" defaultRowHeight="26.25" customHeight="1"/>
  <cols>
    <col min="1" max="1" width="33.8515625" style="0" customWidth="1"/>
    <col min="2" max="2" width="11.28125" style="0" customWidth="1"/>
    <col min="3" max="3" width="18.28125" style="0" customWidth="1"/>
    <col min="4" max="4" width="16.28125" style="0" customWidth="1"/>
  </cols>
  <sheetData>
    <row r="1" spans="1:4" ht="26.25" customHeight="1">
      <c r="A1" s="104" t="s">
        <v>121</v>
      </c>
      <c r="B1" s="104" t="s">
        <v>115</v>
      </c>
      <c r="C1" s="104" t="s">
        <v>122</v>
      </c>
      <c r="D1" s="104" t="s">
        <v>123</v>
      </c>
    </row>
    <row r="2" spans="1:4" ht="26.25" customHeight="1">
      <c r="A2" s="98" t="s">
        <v>124</v>
      </c>
      <c r="B2" s="105">
        <v>1</v>
      </c>
      <c r="C2" s="106">
        <f>'Tecnico Eletr. Manut. Senior'!C56</f>
        <v>4106.466523814985</v>
      </c>
      <c r="D2" s="107">
        <f>C2*12</f>
        <v>49277.598285779815</v>
      </c>
    </row>
    <row r="3" spans="1:4" ht="26.25" customHeight="1">
      <c r="A3" s="98" t="s">
        <v>125</v>
      </c>
      <c r="B3" s="105">
        <v>1</v>
      </c>
      <c r="C3" s="106">
        <f>'Auxiliar de Eletr.Manut.Predial'!C54</f>
        <v>2646.6445346748465</v>
      </c>
      <c r="D3" s="107">
        <f aca="true" t="shared" si="0" ref="D3:D11">C3*12</f>
        <v>31759.73441609816</v>
      </c>
    </row>
    <row r="4" spans="1:4" ht="26.25" customHeight="1">
      <c r="A4" s="98" t="s">
        <v>126</v>
      </c>
      <c r="B4" s="105">
        <v>1</v>
      </c>
      <c r="C4" s="106">
        <f>'Técnico Inst. Hidros.Sênior'!C54</f>
        <v>4119.394807710235</v>
      </c>
      <c r="D4" s="107">
        <f t="shared" si="0"/>
        <v>49432.737692522816</v>
      </c>
    </row>
    <row r="5" spans="1:4" ht="26.25" customHeight="1">
      <c r="A5" s="98" t="s">
        <v>127</v>
      </c>
      <c r="B5" s="105">
        <v>1</v>
      </c>
      <c r="C5" s="106">
        <f>'Arítifice em Manutençã Predial'!C54</f>
        <v>3532.1726181822337</v>
      </c>
      <c r="D5" s="107">
        <f t="shared" si="0"/>
        <v>42386.0714181868</v>
      </c>
    </row>
    <row r="6" spans="1:4" ht="26.25" customHeight="1">
      <c r="A6" s="98" t="s">
        <v>128</v>
      </c>
      <c r="B6" s="105">
        <v>1</v>
      </c>
      <c r="C6" s="106">
        <f>'Técncio de Telefonia de Rede'!C56</f>
        <v>4335.643917264064</v>
      </c>
      <c r="D6" s="107">
        <f t="shared" si="0"/>
        <v>52027.72700716877</v>
      </c>
    </row>
    <row r="7" spans="1:4" ht="26.25" customHeight="1">
      <c r="A7" s="98" t="s">
        <v>129</v>
      </c>
      <c r="B7" s="105">
        <v>1</v>
      </c>
      <c r="C7" s="106">
        <f>'Auxiliar de Telefonia de Rede'!C54</f>
        <v>2741.889805272348</v>
      </c>
      <c r="D7" s="107">
        <f t="shared" si="0"/>
        <v>32902.67766326817</v>
      </c>
    </row>
    <row r="8" spans="1:4" ht="26.25" customHeight="1">
      <c r="A8" s="98" t="s">
        <v>130</v>
      </c>
      <c r="B8" s="105">
        <v>1</v>
      </c>
      <c r="C8" s="106">
        <f>'Técnico Mecânica  Refr. ar cond'!C54</f>
        <v>4152.829329637496</v>
      </c>
      <c r="D8" s="107">
        <f t="shared" si="0"/>
        <v>49833.95195564995</v>
      </c>
    </row>
    <row r="9" spans="1:4" ht="26.25" customHeight="1">
      <c r="A9" s="98" t="s">
        <v>131</v>
      </c>
      <c r="B9" s="105">
        <v>1</v>
      </c>
      <c r="C9" s="106">
        <f>'Técnico Mêcanica Refr. climatiz'!C54</f>
        <v>4141.546276746419</v>
      </c>
      <c r="D9" s="107">
        <f t="shared" si="0"/>
        <v>49698.55532095702</v>
      </c>
    </row>
    <row r="10" spans="1:4" ht="26.25" customHeight="1">
      <c r="A10" s="98" t="s">
        <v>132</v>
      </c>
      <c r="B10" s="105">
        <v>1</v>
      </c>
      <c r="C10" s="106">
        <f>'Auxiliar de Mecânico'!C54</f>
        <v>2644.741369126954</v>
      </c>
      <c r="D10" s="107">
        <f t="shared" si="0"/>
        <v>31736.896429523447</v>
      </c>
    </row>
    <row r="11" spans="1:4" ht="26.25" customHeight="1">
      <c r="A11" s="98" t="s">
        <v>133</v>
      </c>
      <c r="B11" s="105">
        <v>1</v>
      </c>
      <c r="C11" s="108">
        <f>'Técnico em Automação'!C54</f>
        <v>4978.737572587693</v>
      </c>
      <c r="D11" s="107">
        <f t="shared" si="0"/>
        <v>59744.85087105232</v>
      </c>
    </row>
    <row r="12" spans="1:4" ht="26.25" customHeight="1">
      <c r="A12" s="173" t="s">
        <v>120</v>
      </c>
      <c r="B12" s="173"/>
      <c r="C12" s="109">
        <f>SUM(C2:C11)</f>
        <v>37400.06675501727</v>
      </c>
      <c r="D12" s="110">
        <f>SUM(D2:D11)</f>
        <v>448800.80106020725</v>
      </c>
    </row>
    <row r="13" spans="1:4" ht="26.25" customHeight="1">
      <c r="A13" s="174"/>
      <c r="B13" s="174"/>
      <c r="C13" s="174"/>
      <c r="D13" s="174"/>
    </row>
    <row r="14" spans="1:4" ht="26.25" customHeight="1">
      <c r="A14" s="104" t="s">
        <v>134</v>
      </c>
      <c r="B14" s="104" t="s">
        <v>115</v>
      </c>
      <c r="C14" s="104" t="s">
        <v>122</v>
      </c>
      <c r="D14" s="104" t="s">
        <v>123</v>
      </c>
    </row>
    <row r="15" spans="1:4" ht="26.25" customHeight="1">
      <c r="A15" s="111" t="s">
        <v>135</v>
      </c>
      <c r="B15" s="112">
        <v>1</v>
      </c>
      <c r="C15" s="107">
        <f>' Encarregado Geral'!C54</f>
        <v>5872.114601232708</v>
      </c>
      <c r="D15" s="107">
        <f>C15*12</f>
        <v>70465.3752147925</v>
      </c>
    </row>
    <row r="16" spans="1:4" ht="26.25" customHeight="1">
      <c r="A16" s="111" t="s">
        <v>136</v>
      </c>
      <c r="B16" s="112">
        <v>1</v>
      </c>
      <c r="C16" s="113">
        <f>'Auxiliar de Encarregado'!C52</f>
        <v>3384.837945052513</v>
      </c>
      <c r="D16" s="107">
        <f>C16*12</f>
        <v>40618.055340630155</v>
      </c>
    </row>
    <row r="17" spans="1:4" ht="26.25" customHeight="1">
      <c r="A17" s="175" t="s">
        <v>120</v>
      </c>
      <c r="B17" s="175"/>
      <c r="C17" s="114">
        <f>SUM(C15:C16)</f>
        <v>9256.952546285222</v>
      </c>
      <c r="D17" s="110">
        <f>SUM(D15:D16)</f>
        <v>111083.43055542264</v>
      </c>
    </row>
    <row r="18" spans="1:4" ht="26.25" customHeight="1">
      <c r="A18" s="174"/>
      <c r="B18" s="174"/>
      <c r="C18" s="174"/>
      <c r="D18" s="174"/>
    </row>
    <row r="19" spans="1:4" ht="26.25" customHeight="1">
      <c r="A19" s="104" t="s">
        <v>137</v>
      </c>
      <c r="B19" s="104" t="s">
        <v>115</v>
      </c>
      <c r="C19" s="104" t="s">
        <v>122</v>
      </c>
      <c r="D19" s="104" t="s">
        <v>123</v>
      </c>
    </row>
    <row r="20" spans="1:4" ht="39.75" customHeight="1">
      <c r="A20" s="98" t="s">
        <v>138</v>
      </c>
      <c r="B20" s="105">
        <v>1</v>
      </c>
      <c r="C20" s="106">
        <f>'Engenheiro Civil'!C52</f>
        <v>3123.691803291576</v>
      </c>
      <c r="D20" s="107">
        <f>C20*12</f>
        <v>37484.30163949891</v>
      </c>
    </row>
    <row r="21" spans="1:4" ht="40.5" customHeight="1">
      <c r="A21" s="98" t="s">
        <v>139</v>
      </c>
      <c r="B21" s="105">
        <v>1</v>
      </c>
      <c r="C21" s="108">
        <f>'Engenheiro Mecânico'!C52</f>
        <v>3123.691803291576</v>
      </c>
      <c r="D21" s="107">
        <f>C21*12</f>
        <v>37484.30163949891</v>
      </c>
    </row>
    <row r="22" spans="1:4" ht="26.25" customHeight="1">
      <c r="A22" s="175" t="s">
        <v>120</v>
      </c>
      <c r="B22" s="175"/>
      <c r="C22" s="109">
        <f>SUM(C20:C21)</f>
        <v>6247.383606583152</v>
      </c>
      <c r="D22" s="110">
        <f>SUM(D20:D21)</f>
        <v>74968.60327899782</v>
      </c>
    </row>
  </sheetData>
  <sheetProtection selectLockedCells="1" selectUnlockedCells="1"/>
  <mergeCells count="5">
    <mergeCell ref="A12:B12"/>
    <mergeCell ref="A13:D13"/>
    <mergeCell ref="A17:B17"/>
    <mergeCell ref="A18:D18"/>
    <mergeCell ref="A22:B2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110" zoomScaleNormal="167" zoomScaleSheetLayoutView="110" zoomScalePageLayoutView="0" workbookViewId="0" topLeftCell="A1">
      <selection activeCell="C32" sqref="C32"/>
    </sheetView>
  </sheetViews>
  <sheetFormatPr defaultColWidth="9.140625" defaultRowHeight="15" customHeight="1"/>
  <cols>
    <col min="1" max="1" width="34.8515625" style="0" customWidth="1"/>
    <col min="2" max="2" width="16.8515625" style="0" customWidth="1"/>
    <col min="3" max="3" width="20.7109375" style="0" customWidth="1"/>
  </cols>
  <sheetData>
    <row r="1" spans="1:3" ht="15" customHeight="1">
      <c r="A1" s="176" t="s">
        <v>140</v>
      </c>
      <c r="B1" s="176"/>
      <c r="C1" s="176"/>
    </row>
    <row r="2" spans="1:3" ht="15" customHeight="1">
      <c r="A2" s="115" t="s">
        <v>141</v>
      </c>
      <c r="B2" s="115" t="s">
        <v>142</v>
      </c>
      <c r="C2" s="115" t="s">
        <v>143</v>
      </c>
    </row>
    <row r="3" spans="1:3" ht="15" customHeight="1">
      <c r="A3" s="116" t="s">
        <v>144</v>
      </c>
      <c r="B3" s="117">
        <f>'Resumo Resid._Prof. Técnicos'!C12</f>
        <v>37400.06675501727</v>
      </c>
      <c r="C3" s="117">
        <f>'Resumo Resid._Prof. Técnicos'!D12</f>
        <v>448800.80106020725</v>
      </c>
    </row>
    <row r="4" spans="1:3" ht="15" customHeight="1">
      <c r="A4" s="116" t="s">
        <v>145</v>
      </c>
      <c r="B4" s="117">
        <f>'Resumo Resid._Prof. Técnicos'!C17</f>
        <v>9256.952546285222</v>
      </c>
      <c r="C4" s="117">
        <f>'Resumo Resid._Prof. Técnicos'!D17</f>
        <v>111083.43055542264</v>
      </c>
    </row>
    <row r="5" spans="1:3" ht="15" customHeight="1">
      <c r="A5" s="116" t="s">
        <v>146</v>
      </c>
      <c r="B5" s="117">
        <f>'Resumo Resid._Prof. Técnicos'!C22</f>
        <v>6247.383606583152</v>
      </c>
      <c r="C5" s="117">
        <f>'Resumo Resid._Prof. Técnicos'!D22</f>
        <v>74968.60327899782</v>
      </c>
    </row>
    <row r="6" spans="1:3" ht="15" customHeight="1">
      <c r="A6" s="116" t="s">
        <v>147</v>
      </c>
      <c r="B6" s="118" t="s">
        <v>148</v>
      </c>
      <c r="C6" s="117">
        <f>'ResumoProfissionais por Demanda'!E8</f>
        <v>27891.719012726087</v>
      </c>
    </row>
    <row r="7" spans="1:3" ht="15" customHeight="1">
      <c r="A7" s="119" t="s">
        <v>149</v>
      </c>
      <c r="B7" s="120">
        <f>SUM(B3:B5)</f>
        <v>52904.40290788565</v>
      </c>
      <c r="C7" s="117">
        <f>SUM(C3:C6)</f>
        <v>662744.5539073538</v>
      </c>
    </row>
  </sheetData>
  <sheetProtection selectLockedCells="1" selectUnlockedCells="1"/>
  <mergeCells count="1">
    <mergeCell ref="A1:C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view="pageBreakPreview" zoomScaleSheetLayoutView="100" zoomScalePageLayoutView="0" workbookViewId="0" topLeftCell="A43">
      <selection activeCell="B4" sqref="B4:C4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66</v>
      </c>
      <c r="C5" s="63">
        <v>1566.29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31.57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153</v>
      </c>
      <c r="C17" s="13">
        <v>103.49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67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1566.29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1129.451719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2695.7417189999996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31.57</v>
      </c>
    </row>
    <row r="36" spans="2:3" s="18" customFormat="1" ht="15.75" customHeight="1">
      <c r="B36" s="30" t="s">
        <v>30</v>
      </c>
      <c r="C36" s="31">
        <f>($C$12*22)-(C27*0.06)</f>
        <v>38.02260000000001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534.0926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103.49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103.49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176.99952133889994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252.74331650440075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429.74283784330066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26.77606625011653</v>
      </c>
    </row>
    <row r="50" spans="2:4" s="18" customFormat="1" ht="15.75" customHeight="1">
      <c r="B50" s="30" t="s">
        <v>44</v>
      </c>
      <c r="C50" s="31">
        <f>$C$54*3%</f>
        <v>123.58184423130704</v>
      </c>
      <c r="D50" s="51" t="s">
        <v>45</v>
      </c>
    </row>
    <row r="51" spans="2:4" s="18" customFormat="1" ht="15.75" customHeight="1">
      <c r="B51" s="52" t="str">
        <f>(D50&amp;C19&amp;D51)</f>
        <v>ISSQN - 5 %</v>
      </c>
      <c r="C51" s="38">
        <f>$C$19%*C54</f>
        <v>205.96974038551176</v>
      </c>
      <c r="D51" s="51" t="s">
        <v>46</v>
      </c>
    </row>
    <row r="52" spans="2:5" s="18" customFormat="1" ht="15.75" customHeight="1">
      <c r="B52" s="34" t="s">
        <v>47</v>
      </c>
      <c r="C52" s="40">
        <f>SUM(C49:C51)</f>
        <v>356.3276508669353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1423.653088710236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4119.394807710235</v>
      </c>
    </row>
    <row r="55" spans="2:5" s="18" customFormat="1" ht="15.75" customHeight="1">
      <c r="B55" s="53" t="s">
        <v>50</v>
      </c>
      <c r="C55" s="54">
        <f>(C31*C54)</f>
        <v>4119.394807710235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68" r:id="rId3"/>
  <colBreaks count="1" manualBreakCount="1">
    <brk id="1" max="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0" zoomScaleNormal="110" zoomScaleSheetLayoutView="90" zoomScalePageLayoutView="0" workbookViewId="0" topLeftCell="A22">
      <selection activeCell="D49" sqref="D49:D53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68</v>
      </c>
      <c r="C5" s="177">
        <v>1289.77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15.66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153</v>
      </c>
      <c r="C17" s="121">
        <v>103.56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69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1289.77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930.053147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2219.823147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15.66</v>
      </c>
    </row>
    <row r="36" spans="2:3" s="18" customFormat="1" ht="15.75" customHeight="1">
      <c r="B36" s="30" t="s">
        <v>30</v>
      </c>
      <c r="C36" s="31">
        <f>(($C$12*22)-(C27*0.06))</f>
        <v>54.6138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534.7737999999999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103.56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103.56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151.76813388569997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216.71460582377043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368.48273970947037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22.95912201818452</v>
      </c>
    </row>
    <row r="50" spans="2:4" s="18" customFormat="1" ht="15.75" customHeight="1">
      <c r="B50" s="30" t="s">
        <v>44</v>
      </c>
      <c r="C50" s="31">
        <f>$C$54*3%</f>
        <v>105.96517854546701</v>
      </c>
      <c r="D50" s="51"/>
    </row>
    <row r="51" spans="2:4" s="18" customFormat="1" ht="15.75" customHeight="1">
      <c r="B51" s="52" t="str">
        <f>(D50&amp;C19&amp;D51)</f>
        <v>5</v>
      </c>
      <c r="C51" s="38">
        <f>$C$19%*C54</f>
        <v>176.6086309091117</v>
      </c>
      <c r="D51" s="51"/>
    </row>
    <row r="52" spans="2:5" s="18" customFormat="1" ht="15.75" customHeight="1">
      <c r="B52" s="34" t="s">
        <v>47</v>
      </c>
      <c r="C52" s="40">
        <f>SUM(C49:C51)</f>
        <v>305.53293147276327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1312.3494711822336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3532.1726181822337</v>
      </c>
    </row>
    <row r="55" spans="2:5" s="18" customFormat="1" ht="15.75" customHeight="1">
      <c r="B55" s="53" t="s">
        <v>50</v>
      </c>
      <c r="C55" s="54">
        <f>(C31*C54)</f>
        <v>3532.1726181822337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view="pageBreakPreview" zoomScale="90" zoomScaleSheetLayoutView="90" zoomScalePageLayoutView="0" workbookViewId="0" topLeftCell="A16">
      <selection activeCell="D51" sqref="D51:D55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70</v>
      </c>
      <c r="C5" s="63">
        <v>1666.16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0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134" t="s">
        <v>153</v>
      </c>
      <c r="C17" s="121">
        <v>115.04</v>
      </c>
    </row>
    <row r="18" spans="2:3" ht="15.75" customHeight="1">
      <c r="B18" s="135" t="s">
        <v>159</v>
      </c>
      <c r="C18" s="133">
        <v>20.16</v>
      </c>
    </row>
    <row r="19" spans="2:3" ht="15.75" customHeight="1">
      <c r="B19" s="147" t="s">
        <v>14</v>
      </c>
      <c r="C19" s="148"/>
    </row>
    <row r="20" spans="2:3" ht="15.75" customHeight="1">
      <c r="B20" s="14" t="s">
        <v>15</v>
      </c>
      <c r="C20" s="15">
        <v>5</v>
      </c>
    </row>
    <row r="21" spans="2:3" ht="15.75" customHeight="1">
      <c r="B21" s="16"/>
      <c r="C21" s="17"/>
    </row>
    <row r="22" s="18" customFormat="1" ht="15.75" customHeight="1">
      <c r="B22" s="19" t="s">
        <v>16</v>
      </c>
    </row>
    <row r="23" spans="2:3" s="18" customFormat="1" ht="15.75" customHeight="1">
      <c r="B23" s="19" t="s">
        <v>71</v>
      </c>
      <c r="C23" s="20" t="s">
        <v>18</v>
      </c>
    </row>
    <row r="24" spans="2:3" s="18" customFormat="1" ht="15.75" customHeight="1">
      <c r="B24" s="21"/>
      <c r="C24" s="22"/>
    </row>
    <row r="25" spans="2:3" s="18" customFormat="1" ht="15.75" customHeight="1">
      <c r="B25" s="143" t="s">
        <v>19</v>
      </c>
      <c r="C25" s="143" t="s">
        <v>20</v>
      </c>
    </row>
    <row r="26" spans="2:3" s="18" customFormat="1" ht="15.75" customHeight="1">
      <c r="B26" s="143"/>
      <c r="C26" s="143"/>
    </row>
    <row r="27" spans="2:3" s="18" customFormat="1" ht="15.75" customHeight="1">
      <c r="B27" s="23" t="s">
        <v>21</v>
      </c>
      <c r="C27" s="24"/>
    </row>
    <row r="28" spans="2:3" s="25" customFormat="1" ht="15.75" customHeight="1">
      <c r="B28" s="26" t="s">
        <v>22</v>
      </c>
      <c r="C28" s="27">
        <f>C5</f>
        <v>1666.16</v>
      </c>
    </row>
    <row r="29" spans="2:3" s="25" customFormat="1" ht="15.75" customHeight="1">
      <c r="B29" s="26" t="s">
        <v>23</v>
      </c>
      <c r="C29" s="27">
        <f>C5*C6%</f>
        <v>0</v>
      </c>
    </row>
    <row r="30" spans="2:3" s="25" customFormat="1" ht="15.75" customHeight="1">
      <c r="B30" s="28" t="s">
        <v>24</v>
      </c>
      <c r="C30" s="29">
        <f>+C5*C7%</f>
        <v>0</v>
      </c>
    </row>
    <row r="31" spans="2:3" s="18" customFormat="1" ht="15.75" customHeight="1">
      <c r="B31" s="30" t="s">
        <v>25</v>
      </c>
      <c r="C31" s="31">
        <f>SUM(C28:C30)*0.7211</f>
        <v>1201.467976</v>
      </c>
    </row>
    <row r="32" spans="2:3" s="18" customFormat="1" ht="15.75" customHeight="1">
      <c r="B32" s="32" t="s">
        <v>26</v>
      </c>
      <c r="C32" s="33">
        <f>C8</f>
        <v>1</v>
      </c>
    </row>
    <row r="33" spans="2:3" s="18" customFormat="1" ht="15.75" customHeight="1">
      <c r="B33" s="34" t="s">
        <v>27</v>
      </c>
      <c r="C33" s="35">
        <f>SUM(C28:C31)</f>
        <v>2867.6279759999998</v>
      </c>
    </row>
    <row r="34" spans="2:3" s="18" customFormat="1" ht="15.75" customHeight="1">
      <c r="B34" s="36" t="s">
        <v>28</v>
      </c>
      <c r="C34" s="27"/>
    </row>
    <row r="35" spans="2:3" s="18" customFormat="1" ht="15.75" customHeight="1">
      <c r="B35" s="28" t="s">
        <v>29</v>
      </c>
      <c r="C35" s="27">
        <f>C10</f>
        <v>20</v>
      </c>
    </row>
    <row r="36" spans="2:3" s="18" customFormat="1" ht="15.75" customHeight="1">
      <c r="B36" s="28" t="s">
        <v>150</v>
      </c>
      <c r="C36" s="27">
        <f>C11</f>
        <v>13.45</v>
      </c>
    </row>
    <row r="37" spans="2:3" s="18" customFormat="1" ht="15.75" customHeight="1">
      <c r="B37" s="30" t="s">
        <v>30</v>
      </c>
      <c r="C37" s="31">
        <f>(($C$12*22)-(C28*0.06))</f>
        <v>32.0304</v>
      </c>
    </row>
    <row r="38" spans="2:3" s="18" customFormat="1" ht="15.75" customHeight="1">
      <c r="B38" s="30" t="s">
        <v>31</v>
      </c>
      <c r="C38" s="37">
        <f>$C$13*22</f>
        <v>440</v>
      </c>
    </row>
    <row r="39" spans="2:3" s="18" customFormat="1" ht="15.75" customHeight="1">
      <c r="B39" s="30" t="s">
        <v>32</v>
      </c>
      <c r="C39" s="31">
        <f>+C14</f>
        <v>0</v>
      </c>
    </row>
    <row r="40" spans="2:4" s="18" customFormat="1" ht="15.75" customHeight="1">
      <c r="B40" s="32" t="s">
        <v>33</v>
      </c>
      <c r="C40" s="38">
        <f>C15</f>
        <v>0</v>
      </c>
      <c r="D40" s="39"/>
    </row>
    <row r="41" spans="2:4" s="18" customFormat="1" ht="15.75" customHeight="1">
      <c r="B41" s="34" t="s">
        <v>34</v>
      </c>
      <c r="C41" s="40">
        <f>SUM(C35:C40)</f>
        <v>505.48040000000003</v>
      </c>
      <c r="D41" s="39"/>
    </row>
    <row r="42" spans="2:4" s="18" customFormat="1" ht="15.75" customHeight="1">
      <c r="B42" s="36" t="s">
        <v>35</v>
      </c>
      <c r="C42" s="27"/>
      <c r="D42" s="39"/>
    </row>
    <row r="43" spans="2:4" s="18" customFormat="1" ht="15.75" customHeight="1">
      <c r="B43" s="41" t="s">
        <v>152</v>
      </c>
      <c r="C43" s="42">
        <f>+C17</f>
        <v>115.04</v>
      </c>
      <c r="D43" s="39"/>
    </row>
    <row r="44" spans="2:4" s="18" customFormat="1" ht="15.75" customHeight="1">
      <c r="B44" s="41" t="s">
        <v>159</v>
      </c>
      <c r="C44" s="42">
        <f>C18</f>
        <v>20.16</v>
      </c>
      <c r="D44" s="39"/>
    </row>
    <row r="45" spans="1:12" s="44" customFormat="1" ht="15.75" customHeight="1">
      <c r="A45" s="18"/>
      <c r="B45" s="34" t="s">
        <v>37</v>
      </c>
      <c r="C45" s="43">
        <f>SUM(C43,C44)</f>
        <v>135.20000000000002</v>
      </c>
      <c r="D45" s="39"/>
      <c r="E45" s="18"/>
      <c r="F45" s="18"/>
      <c r="G45" s="18"/>
      <c r="H45" s="18"/>
      <c r="I45" s="18"/>
      <c r="J45" s="18"/>
      <c r="K45" s="18"/>
      <c r="L45" s="18"/>
    </row>
    <row r="46" spans="1:12" s="44" customFormat="1" ht="15.75" customHeight="1">
      <c r="A46" s="18"/>
      <c r="B46" s="45" t="s">
        <v>38</v>
      </c>
      <c r="C46" s="46"/>
      <c r="D46" s="39"/>
      <c r="E46" s="18"/>
      <c r="F46" s="18"/>
      <c r="G46" s="18"/>
      <c r="H46" s="18"/>
      <c r="I46" s="18"/>
      <c r="J46" s="18"/>
      <c r="K46" s="18"/>
      <c r="L46" s="18"/>
    </row>
    <row r="47" spans="2:13" s="44" customFormat="1" ht="15.75" customHeight="1">
      <c r="B47" s="30" t="s">
        <v>39</v>
      </c>
      <c r="C47" s="47">
        <f>(SUM($C$33+$C$41+$C$45))*5.31%</f>
        <v>186.29117476559995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s="18" customFormat="1" ht="15.75" customHeight="1">
      <c r="B48" s="32" t="s">
        <v>40</v>
      </c>
      <c r="C48" s="48">
        <f>(SUM($C$33+$C$41+$C$45+C47))*7.2%</f>
        <v>266.0111676551232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s="18" customFormat="1" ht="15.75" customHeight="1">
      <c r="B49" s="34" t="s">
        <v>41</v>
      </c>
      <c r="C49" s="40">
        <f>SUM(C47:C48)</f>
        <v>452.3023424207231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3" s="18" customFormat="1" ht="15.75" customHeight="1">
      <c r="B50" s="49" t="s">
        <v>42</v>
      </c>
      <c r="C50" s="50"/>
    </row>
    <row r="51" spans="2:3" s="18" customFormat="1" ht="15.75" customHeight="1">
      <c r="B51" s="28" t="s">
        <v>43</v>
      </c>
      <c r="C51" s="27">
        <f>$C$56*0.65%</f>
        <v>28.181685462216418</v>
      </c>
    </row>
    <row r="52" spans="2:4" s="18" customFormat="1" ht="15.75" customHeight="1">
      <c r="B52" s="30" t="s">
        <v>44</v>
      </c>
      <c r="C52" s="31">
        <f>$C$56*3%</f>
        <v>130.06931751792192</v>
      </c>
      <c r="D52" s="51"/>
    </row>
    <row r="53" spans="2:4" s="18" customFormat="1" ht="15.75" customHeight="1">
      <c r="B53" s="52" t="str">
        <f>(D52&amp;C20&amp;D53)</f>
        <v>5</v>
      </c>
      <c r="C53" s="38">
        <f>$C$20%*C56</f>
        <v>216.7821958632032</v>
      </c>
      <c r="D53" s="51"/>
    </row>
    <row r="54" spans="2:5" s="18" customFormat="1" ht="15.75" customHeight="1">
      <c r="B54" s="34" t="s">
        <v>47</v>
      </c>
      <c r="C54" s="40">
        <f>SUM(C51:C53)</f>
        <v>375.03319884334155</v>
      </c>
      <c r="D54" s="25"/>
      <c r="E54" s="25"/>
    </row>
    <row r="55" spans="2:5" s="18" customFormat="1" ht="15.75" customHeight="1">
      <c r="B55" s="53" t="s">
        <v>48</v>
      </c>
      <c r="C55" s="54">
        <f>SUM(C41,C45,C49,C54)</f>
        <v>1468.0159412640648</v>
      </c>
      <c r="E55" s="25"/>
    </row>
    <row r="56" spans="2:3" s="18" customFormat="1" ht="15.75" customHeight="1">
      <c r="B56" s="55" t="s">
        <v>49</v>
      </c>
      <c r="C56" s="56">
        <f>SUM(C33,C41,C45,C49)/((100-(3.65+$C$20))/100)</f>
        <v>4335.643917264064</v>
      </c>
    </row>
    <row r="57" spans="2:5" s="18" customFormat="1" ht="15.75" customHeight="1">
      <c r="B57" s="53" t="s">
        <v>50</v>
      </c>
      <c r="C57" s="54">
        <f>(C32*C56)</f>
        <v>4335.643917264064</v>
      </c>
      <c r="E57" s="25"/>
    </row>
    <row r="58" spans="2:3" s="18" customFormat="1" ht="15.75" customHeight="1">
      <c r="B58" s="57"/>
      <c r="C58" s="57"/>
    </row>
    <row r="59" spans="2:12" s="58" customFormat="1" ht="15.75" customHeight="1">
      <c r="B59" s="149" t="s">
        <v>51</v>
      </c>
      <c r="C59" s="149"/>
      <c r="D59" s="18"/>
      <c r="E59" s="18"/>
      <c r="F59" s="18"/>
      <c r="G59" s="18"/>
      <c r="H59" s="18"/>
      <c r="I59" s="18"/>
      <c r="J59" s="18"/>
      <c r="K59" s="18"/>
      <c r="L59" s="18"/>
    </row>
    <row r="60" spans="2:3" ht="15.75" customHeight="1">
      <c r="B60" s="59" t="s">
        <v>52</v>
      </c>
      <c r="C60" s="60"/>
    </row>
    <row r="61" spans="2:3" ht="15.75" customHeight="1">
      <c r="B61" s="141" t="s">
        <v>53</v>
      </c>
      <c r="C61" s="141"/>
    </row>
    <row r="62" spans="2:3" ht="15.75" customHeight="1">
      <c r="B62" s="141" t="s">
        <v>54</v>
      </c>
      <c r="C62" s="141"/>
    </row>
    <row r="63" spans="2:3" ht="15.75" customHeight="1">
      <c r="B63" s="141" t="s">
        <v>55</v>
      </c>
      <c r="C63" s="141"/>
    </row>
    <row r="64" spans="2:3" ht="15.75" customHeight="1">
      <c r="B64" s="140" t="s">
        <v>56</v>
      </c>
      <c r="C64" s="140"/>
    </row>
    <row r="65" spans="2:3" ht="15.75" customHeight="1">
      <c r="B65" s="59" t="s">
        <v>57</v>
      </c>
      <c r="C65" s="60"/>
    </row>
    <row r="66" spans="2:3" ht="15.75" customHeight="1">
      <c r="B66" s="59" t="s">
        <v>58</v>
      </c>
      <c r="C66" s="60"/>
    </row>
    <row r="67" spans="2:3" ht="15.75" customHeight="1">
      <c r="B67" s="61" t="s">
        <v>59</v>
      </c>
      <c r="C67" s="62"/>
    </row>
    <row r="68" spans="2:3" ht="15.75" customHeight="1">
      <c r="B68" s="140" t="s">
        <v>60</v>
      </c>
      <c r="C68" s="140"/>
    </row>
    <row r="69" spans="2:3" ht="15.75" customHeight="1">
      <c r="B69" s="59" t="s">
        <v>61</v>
      </c>
      <c r="C69" s="60"/>
    </row>
    <row r="70" spans="2:3" ht="15.75" customHeight="1">
      <c r="B70" s="141" t="s">
        <v>62</v>
      </c>
      <c r="C70" s="141"/>
    </row>
    <row r="71" spans="2:3" ht="6" customHeight="1">
      <c r="B71" s="142" t="s">
        <v>63</v>
      </c>
      <c r="C71" s="142"/>
    </row>
    <row r="72" spans="2:3" ht="6" customHeight="1">
      <c r="B72" s="142"/>
      <c r="C72" s="142"/>
    </row>
    <row r="73" spans="2:3" ht="15.75" customHeight="1">
      <c r="B73" s="142"/>
      <c r="C73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9:C19"/>
    <mergeCell ref="B64:C64"/>
    <mergeCell ref="B68:C68"/>
    <mergeCell ref="B70:C70"/>
    <mergeCell ref="B71:C73"/>
    <mergeCell ref="B25:B26"/>
    <mergeCell ref="C25:C26"/>
    <mergeCell ref="B59:C59"/>
    <mergeCell ref="B61:C61"/>
    <mergeCell ref="B62:C62"/>
    <mergeCell ref="B63:C63"/>
  </mergeCells>
  <printOptions/>
  <pageMargins left="0.5118055555555555" right="0.5118055555555555" top="0.7875" bottom="0.7875" header="0.5118055555555555" footer="0.5118055555555555"/>
  <pageSetup fitToHeight="1" fitToWidth="1" horizontalDpi="600" verticalDpi="600" orientation="portrait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0" zoomScaleNormal="115" zoomScaleSheetLayoutView="90" zoomScalePageLayoutView="0" workbookViewId="0" topLeftCell="A16">
      <selection activeCell="D48" sqref="D48:D53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72</v>
      </c>
      <c r="C5" s="63">
        <v>923.23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5" ht="15.75" customHeight="1">
      <c r="B14" s="2" t="s">
        <v>10</v>
      </c>
      <c r="C14" s="11">
        <v>0</v>
      </c>
      <c r="E14" s="18"/>
    </row>
    <row r="15" spans="2:5" ht="15.75" customHeight="1">
      <c r="B15" s="5" t="s">
        <v>160</v>
      </c>
      <c r="C15" s="12">
        <v>0</v>
      </c>
      <c r="E15" s="18"/>
    </row>
    <row r="16" spans="2:5" ht="15.75" customHeight="1">
      <c r="B16" s="146" t="s">
        <v>12</v>
      </c>
      <c r="C16" s="146"/>
      <c r="E16" s="18"/>
    </row>
    <row r="17" spans="2:5" ht="15.75" customHeight="1">
      <c r="B17" s="7" t="s">
        <v>153</v>
      </c>
      <c r="C17" s="121">
        <v>79.65</v>
      </c>
      <c r="E17" s="18"/>
    </row>
    <row r="18" spans="2:5" ht="15.75" customHeight="1">
      <c r="B18" s="148" t="s">
        <v>14</v>
      </c>
      <c r="C18" s="148"/>
      <c r="E18" s="1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73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923.23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665.7411529999999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1588.971153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</f>
        <v>76.6062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0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550.0562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79.65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79.65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117.81176744429999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168.22721667198962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286.0389841162896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17.822283734270265</v>
      </c>
    </row>
    <row r="50" spans="2:4" s="18" customFormat="1" ht="15.75" customHeight="1">
      <c r="B50" s="30" t="s">
        <v>44</v>
      </c>
      <c r="C50" s="31">
        <f>$C$54*3%</f>
        <v>82.25669415817043</v>
      </c>
      <c r="D50" s="51"/>
    </row>
    <row r="51" spans="2:4" s="18" customFormat="1" ht="15.75" customHeight="1">
      <c r="B51" s="52" t="str">
        <f>(D50&amp;C19&amp;D51)</f>
        <v>5</v>
      </c>
      <c r="C51" s="38">
        <f>$C$19%*C54</f>
        <v>137.09449026361742</v>
      </c>
      <c r="D51" s="51"/>
    </row>
    <row r="52" spans="2:5" s="18" customFormat="1" ht="15.75" customHeight="1">
      <c r="B52" s="34" t="s">
        <v>47</v>
      </c>
      <c r="C52" s="40">
        <f>SUM(C49:C51)</f>
        <v>237.1734681560581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1152.9186522723476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2741.889805272348</v>
      </c>
    </row>
    <row r="55" spans="2:5" s="18" customFormat="1" ht="15.75" customHeight="1">
      <c r="B55" s="53" t="s">
        <v>50</v>
      </c>
      <c r="C55" s="54">
        <f>(C31*C54)</f>
        <v>2741.889805272348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 r:id="rId3"/>
  <colBreaks count="1" manualBreakCount="1">
    <brk id="1" max="7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Normal="70" zoomScaleSheetLayoutView="100" zoomScalePageLayoutView="0" workbookViewId="0" topLeftCell="A16">
      <selection activeCell="D48" sqref="D48:D53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74</v>
      </c>
      <c r="C5" s="63">
        <v>1587.64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155</v>
      </c>
      <c r="C17" s="121">
        <v>113.2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75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1587.64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1144.847204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2732.487204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</f>
        <v>36.74159999999999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514.6916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113.2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113.2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178.43611449239998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254.79467413145284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433.23078862385285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26.993390642643725</v>
      </c>
    </row>
    <row r="50" spans="2:4" s="18" customFormat="1" ht="15.75" customHeight="1">
      <c r="B50" s="30" t="s">
        <v>44</v>
      </c>
      <c r="C50" s="31">
        <f>$C$54*3%</f>
        <v>124.58487988912488</v>
      </c>
      <c r="D50" s="51"/>
    </row>
    <row r="51" spans="2:4" s="18" customFormat="1" ht="15.75" customHeight="1">
      <c r="B51" s="52" t="str">
        <f>(D50&amp;C19&amp;D51)</f>
        <v>5</v>
      </c>
      <c r="C51" s="38">
        <f>$C$19%*C54</f>
        <v>207.6414664818748</v>
      </c>
      <c r="D51" s="51"/>
    </row>
    <row r="52" spans="2:5" s="18" customFormat="1" ht="15.75" customHeight="1">
      <c r="B52" s="34" t="s">
        <v>47</v>
      </c>
      <c r="C52" s="40">
        <f>SUM(C49:C51)</f>
        <v>359.2197370136434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1420.3421256374963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4152.829329637496</v>
      </c>
    </row>
    <row r="55" spans="2:5" s="18" customFormat="1" ht="15.75" customHeight="1">
      <c r="B55" s="53" t="s">
        <v>50</v>
      </c>
      <c r="C55" s="54">
        <f>(C31*C54)</f>
        <v>4152.829329637496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0" zoomScaleNormal="40" zoomScaleSheetLayoutView="90" zoomScalePageLayoutView="0" workbookViewId="0" topLeftCell="A28">
      <selection activeCell="B4" sqref="B4:C4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76</v>
      </c>
      <c r="C5" s="63">
        <v>1587.64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153</v>
      </c>
      <c r="C17" s="121">
        <v>104.07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77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1587.64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1144.847204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2732.487204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</f>
        <v>36.74159999999999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514.6916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104.07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104.07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177.9513114924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254.10240831545283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432.0537198078529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26.920050798851722</v>
      </c>
    </row>
    <row r="50" spans="2:3" s="18" customFormat="1" ht="15.75" customHeight="1">
      <c r="B50" s="30" t="s">
        <v>44</v>
      </c>
      <c r="C50" s="31">
        <f>$C$54*3%</f>
        <v>124.24638830239256</v>
      </c>
    </row>
    <row r="51" spans="2:4" s="18" customFormat="1" ht="15.75" customHeight="1">
      <c r="B51" s="52" t="str">
        <f>(D53&amp;C19&amp;D51)</f>
        <v>5</v>
      </c>
      <c r="C51" s="38">
        <f>$C$19%*C54</f>
        <v>207.07731383732096</v>
      </c>
      <c r="D51" s="51"/>
    </row>
    <row r="52" spans="2:5" s="18" customFormat="1" ht="15.75" customHeight="1">
      <c r="B52" s="34" t="s">
        <v>47</v>
      </c>
      <c r="C52" s="40">
        <f>SUM(C49:C51)</f>
        <v>358.24375293856525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1409.0590727464182</v>
      </c>
      <c r="D53" s="51"/>
      <c r="E53" s="25"/>
    </row>
    <row r="54" spans="2:3" s="18" customFormat="1" ht="15.75" customHeight="1">
      <c r="B54" s="55" t="s">
        <v>49</v>
      </c>
      <c r="C54" s="56">
        <f>SUM(C32,C40,C43,C47)/((100-(3.65+$C$19))/100)</f>
        <v>4141.546276746419</v>
      </c>
    </row>
    <row r="55" spans="2:5" s="18" customFormat="1" ht="15.75" customHeight="1">
      <c r="B55" s="53" t="s">
        <v>50</v>
      </c>
      <c r="C55" s="54">
        <f>(C31*C54)</f>
        <v>4141.546276746419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0" zoomScaleNormal="85" zoomScaleSheetLayoutView="90" zoomScalePageLayoutView="0" workbookViewId="0" topLeftCell="A15">
      <selection activeCell="D48" sqref="D48:D53"/>
    </sheetView>
  </sheetViews>
  <sheetFormatPr defaultColWidth="11.421875" defaultRowHeight="12.75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5" t="s">
        <v>0</v>
      </c>
      <c r="C2" s="145"/>
    </row>
    <row r="3" spans="2:3" ht="15.75" customHeight="1">
      <c r="B3" s="146" t="s">
        <v>1</v>
      </c>
      <c r="C3" s="146"/>
    </row>
    <row r="4" spans="2:3" ht="15.75" customHeight="1">
      <c r="B4" s="146" t="s">
        <v>162</v>
      </c>
      <c r="C4" s="146"/>
    </row>
    <row r="5" spans="2:3" ht="15.75" customHeight="1">
      <c r="B5" s="2" t="s">
        <v>78</v>
      </c>
      <c r="C5" s="63">
        <v>873.6</v>
      </c>
    </row>
    <row r="6" spans="2:3" ht="15.75" customHeight="1">
      <c r="B6" s="2" t="s">
        <v>3</v>
      </c>
      <c r="C6" s="4">
        <v>0</v>
      </c>
    </row>
    <row r="7" spans="2:3" ht="15.75" customHeight="1">
      <c r="B7" s="2" t="s">
        <v>4</v>
      </c>
      <c r="C7" s="4">
        <v>0</v>
      </c>
    </row>
    <row r="8" spans="2:3" ht="15.75" customHeight="1">
      <c r="B8" s="5" t="s">
        <v>5</v>
      </c>
      <c r="C8" s="6">
        <v>1</v>
      </c>
    </row>
    <row r="9" spans="2:3" ht="15.75" customHeight="1">
      <c r="B9" s="147" t="s">
        <v>6</v>
      </c>
      <c r="C9" s="147"/>
    </row>
    <row r="10" spans="2:3" ht="15.75" customHeight="1">
      <c r="B10" s="7" t="s">
        <v>7</v>
      </c>
      <c r="C10" s="8">
        <v>20</v>
      </c>
    </row>
    <row r="11" spans="2:3" ht="15.75" customHeight="1">
      <c r="B11" s="122" t="s">
        <v>150</v>
      </c>
      <c r="C11" s="123">
        <v>13.45</v>
      </c>
    </row>
    <row r="12" spans="2:3" ht="15.75" customHeight="1">
      <c r="B12" s="9" t="s">
        <v>8</v>
      </c>
      <c r="C12" s="10">
        <v>6</v>
      </c>
    </row>
    <row r="13" spans="2:3" ht="15.75" customHeight="1">
      <c r="B13" s="2" t="s">
        <v>9</v>
      </c>
      <c r="C13" s="11">
        <v>20</v>
      </c>
    </row>
    <row r="14" spans="2:3" ht="15.75" customHeight="1">
      <c r="B14" s="2" t="s">
        <v>10</v>
      </c>
      <c r="C14" s="11">
        <v>4.5</v>
      </c>
    </row>
    <row r="15" spans="2:3" ht="15.75" customHeight="1">
      <c r="B15" s="5" t="s">
        <v>160</v>
      </c>
      <c r="C15" s="12">
        <v>0</v>
      </c>
    </row>
    <row r="16" spans="2:3" ht="15.75" customHeight="1">
      <c r="B16" s="146" t="s">
        <v>12</v>
      </c>
      <c r="C16" s="146"/>
    </row>
    <row r="17" spans="2:3" ht="15.75" customHeight="1">
      <c r="B17" s="7" t="s">
        <v>153</v>
      </c>
      <c r="C17" s="121">
        <v>78.98</v>
      </c>
    </row>
    <row r="18" spans="2:3" ht="15.75" customHeight="1">
      <c r="B18" s="148" t="s">
        <v>14</v>
      </c>
      <c r="C18" s="148"/>
    </row>
    <row r="19" spans="2:3" ht="15.75" customHeight="1">
      <c r="B19" s="14" t="s">
        <v>15</v>
      </c>
      <c r="C19" s="15">
        <v>5</v>
      </c>
    </row>
    <row r="20" spans="2:3" ht="15.75" customHeight="1">
      <c r="B20" s="16"/>
      <c r="C20" s="17"/>
    </row>
    <row r="21" s="18" customFormat="1" ht="15.75" customHeight="1">
      <c r="B21" s="19" t="s">
        <v>16</v>
      </c>
    </row>
    <row r="22" spans="2:3" s="18" customFormat="1" ht="15.75" customHeight="1">
      <c r="B22" s="19" t="s">
        <v>79</v>
      </c>
      <c r="C22" s="20" t="s">
        <v>18</v>
      </c>
    </row>
    <row r="23" spans="2:3" s="18" customFormat="1" ht="15.75" customHeight="1">
      <c r="B23" s="21"/>
      <c r="C23" s="22"/>
    </row>
    <row r="24" spans="2:3" s="18" customFormat="1" ht="15.75" customHeight="1">
      <c r="B24" s="143" t="s">
        <v>19</v>
      </c>
      <c r="C24" s="143" t="s">
        <v>20</v>
      </c>
    </row>
    <row r="25" spans="2:3" s="18" customFormat="1" ht="15.75" customHeight="1">
      <c r="B25" s="143"/>
      <c r="C25" s="143"/>
    </row>
    <row r="26" spans="2:3" s="18" customFormat="1" ht="15.75" customHeight="1">
      <c r="B26" s="23" t="s">
        <v>21</v>
      </c>
      <c r="C26" s="24"/>
    </row>
    <row r="27" spans="2:3" s="25" customFormat="1" ht="15.75" customHeight="1">
      <c r="B27" s="26" t="s">
        <v>22</v>
      </c>
      <c r="C27" s="27">
        <f>C5</f>
        <v>873.6</v>
      </c>
    </row>
    <row r="28" spans="2:3" s="25" customFormat="1" ht="15.75" customHeight="1">
      <c r="B28" s="26" t="s">
        <v>23</v>
      </c>
      <c r="C28" s="27">
        <f>C5*C6%</f>
        <v>0</v>
      </c>
    </row>
    <row r="29" spans="2:3" s="25" customFormat="1" ht="15.75" customHeight="1">
      <c r="B29" s="28" t="s">
        <v>24</v>
      </c>
      <c r="C29" s="29">
        <f>+C5*C7%</f>
        <v>0</v>
      </c>
    </row>
    <row r="30" spans="2:3" s="18" customFormat="1" ht="15.75" customHeight="1">
      <c r="B30" s="30" t="s">
        <v>25</v>
      </c>
      <c r="C30" s="31">
        <f>SUM(C27:C29)*0.7211</f>
        <v>629.95296</v>
      </c>
    </row>
    <row r="31" spans="2:3" s="18" customFormat="1" ht="15.75" customHeight="1">
      <c r="B31" s="32" t="s">
        <v>26</v>
      </c>
      <c r="C31" s="33">
        <f>C8</f>
        <v>1</v>
      </c>
    </row>
    <row r="32" spans="2:3" s="18" customFormat="1" ht="15.75" customHeight="1">
      <c r="B32" s="34" t="s">
        <v>27</v>
      </c>
      <c r="C32" s="35">
        <f>SUM(C27:C30)</f>
        <v>1503.55296</v>
      </c>
    </row>
    <row r="33" spans="2:3" s="18" customFormat="1" ht="15.75" customHeight="1">
      <c r="B33" s="36" t="s">
        <v>28</v>
      </c>
      <c r="C33" s="27"/>
    </row>
    <row r="34" spans="2:3" s="18" customFormat="1" ht="15.75" customHeight="1">
      <c r="B34" s="28" t="s">
        <v>29</v>
      </c>
      <c r="C34" s="27">
        <f>C10</f>
        <v>20</v>
      </c>
    </row>
    <row r="35" spans="2:3" s="18" customFormat="1" ht="15.75" customHeight="1">
      <c r="B35" s="28" t="s">
        <v>150</v>
      </c>
      <c r="C35" s="27">
        <f>C11</f>
        <v>13.45</v>
      </c>
    </row>
    <row r="36" spans="2:3" s="18" customFormat="1" ht="15.75" customHeight="1">
      <c r="B36" s="30" t="s">
        <v>30</v>
      </c>
      <c r="C36" s="31">
        <f>(($C$12*22)-(C27*0.06))</f>
        <v>79.584</v>
      </c>
    </row>
    <row r="37" spans="2:3" s="18" customFormat="1" ht="15.75" customHeight="1">
      <c r="B37" s="30" t="s">
        <v>31</v>
      </c>
      <c r="C37" s="37">
        <f>$C$13*22</f>
        <v>440</v>
      </c>
    </row>
    <row r="38" spans="2:3" s="18" customFormat="1" ht="15.75" customHeight="1">
      <c r="B38" s="30" t="s">
        <v>32</v>
      </c>
      <c r="C38" s="31">
        <f>+C14</f>
        <v>4.5</v>
      </c>
    </row>
    <row r="39" spans="2:4" s="18" customFormat="1" ht="15.75" customHeight="1">
      <c r="B39" s="32" t="s">
        <v>33</v>
      </c>
      <c r="C39" s="38">
        <f>C15</f>
        <v>0</v>
      </c>
      <c r="D39" s="39"/>
    </row>
    <row r="40" spans="2:4" s="18" customFormat="1" ht="15.75" customHeight="1">
      <c r="B40" s="34" t="s">
        <v>34</v>
      </c>
      <c r="C40" s="40">
        <f>SUM(C34:C39)</f>
        <v>557.534</v>
      </c>
      <c r="D40" s="39"/>
    </row>
    <row r="41" spans="2:4" s="18" customFormat="1" ht="15.75" customHeight="1">
      <c r="B41" s="36" t="s">
        <v>35</v>
      </c>
      <c r="C41" s="27"/>
      <c r="D41" s="39"/>
    </row>
    <row r="42" spans="2:4" s="18" customFormat="1" ht="15.75" customHeight="1">
      <c r="B42" s="41" t="s">
        <v>152</v>
      </c>
      <c r="C42" s="42">
        <f>+C17</f>
        <v>78.98</v>
      </c>
      <c r="D42" s="39"/>
    </row>
    <row r="43" spans="1:12" s="44" customFormat="1" ht="15.75" customHeight="1">
      <c r="A43" s="18"/>
      <c r="B43" s="34" t="s">
        <v>37</v>
      </c>
      <c r="C43" s="43">
        <f>SUM(C42)</f>
        <v>78.98</v>
      </c>
      <c r="D43" s="39"/>
      <c r="E43" s="18"/>
      <c r="F43" s="18"/>
      <c r="G43" s="18"/>
      <c r="H43" s="18"/>
      <c r="I43" s="18"/>
      <c r="J43" s="18"/>
      <c r="K43" s="18"/>
      <c r="L43" s="18"/>
    </row>
    <row r="44" spans="1:12" s="44" customFormat="1" ht="15.75" customHeight="1">
      <c r="A44" s="18"/>
      <c r="B44" s="45" t="s">
        <v>38</v>
      </c>
      <c r="C44" s="46"/>
      <c r="D44" s="39"/>
      <c r="E44" s="18"/>
      <c r="F44" s="18"/>
      <c r="G44" s="18"/>
      <c r="H44" s="18"/>
      <c r="I44" s="18"/>
      <c r="J44" s="18"/>
      <c r="K44" s="18"/>
      <c r="L44" s="18"/>
    </row>
    <row r="45" spans="2:13" s="44" customFormat="1" ht="15.75" customHeight="1">
      <c r="B45" s="30" t="s">
        <v>39</v>
      </c>
      <c r="C45" s="47">
        <f>(SUM($C$32+$C$40+$C$43))*5.31%</f>
        <v>113.637555576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s="18" customFormat="1" ht="15.75" customHeight="1">
      <c r="B46" s="32" t="s">
        <v>40</v>
      </c>
      <c r="C46" s="48">
        <f>(SUM($C$32+$C$40+$C$43+C45))*7.2%</f>
        <v>162.26672512147204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s="18" customFormat="1" ht="15.75" customHeight="1">
      <c r="B47" s="34" t="s">
        <v>41</v>
      </c>
      <c r="C47" s="40">
        <f>SUM(C45:C46)</f>
        <v>275.904280697472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" s="18" customFormat="1" ht="15.75" customHeight="1">
      <c r="B48" s="49" t="s">
        <v>42</v>
      </c>
      <c r="C48" s="50"/>
    </row>
    <row r="49" spans="2:3" s="18" customFormat="1" ht="15.75" customHeight="1">
      <c r="B49" s="28" t="s">
        <v>43</v>
      </c>
      <c r="C49" s="27">
        <f>$C$54*0.65%</f>
        <v>17.1908188993252</v>
      </c>
    </row>
    <row r="50" spans="2:4" s="18" customFormat="1" ht="15.75" customHeight="1">
      <c r="B50" s="30" t="s">
        <v>44</v>
      </c>
      <c r="C50" s="31">
        <f>$C$54*3%</f>
        <v>79.34224107380861</v>
      </c>
      <c r="D50" s="51"/>
    </row>
    <row r="51" spans="2:4" s="18" customFormat="1" ht="15.75" customHeight="1">
      <c r="B51" s="52" t="str">
        <f>(D50&amp;C19&amp;D51)</f>
        <v>5</v>
      </c>
      <c r="C51" s="38">
        <f>$C$19%*C54</f>
        <v>132.2370684563477</v>
      </c>
      <c r="D51" s="51"/>
    </row>
    <row r="52" spans="2:5" s="18" customFormat="1" ht="15.75" customHeight="1">
      <c r="B52" s="34" t="s">
        <v>47</v>
      </c>
      <c r="C52" s="40">
        <f>SUM(C49:C51)</f>
        <v>228.77012842948153</v>
      </c>
      <c r="D52" s="25"/>
      <c r="E52" s="25"/>
    </row>
    <row r="53" spans="2:5" s="18" customFormat="1" ht="15.75" customHeight="1">
      <c r="B53" s="53" t="s">
        <v>48</v>
      </c>
      <c r="C53" s="54">
        <f>SUM(C40,C43,C47,C52)</f>
        <v>1141.1884091269535</v>
      </c>
      <c r="E53" s="25"/>
    </row>
    <row r="54" spans="2:3" s="18" customFormat="1" ht="15.75" customHeight="1">
      <c r="B54" s="55" t="s">
        <v>49</v>
      </c>
      <c r="C54" s="56">
        <f>SUM(C32,C40,C43,C47)/((100-(3.65+$C$19))/100)</f>
        <v>2644.741369126954</v>
      </c>
    </row>
    <row r="55" spans="2:5" s="18" customFormat="1" ht="15.75" customHeight="1">
      <c r="B55" s="53" t="s">
        <v>50</v>
      </c>
      <c r="C55" s="54">
        <f>(C31*C54)</f>
        <v>2644.741369126954</v>
      </c>
      <c r="E55" s="25"/>
    </row>
    <row r="56" spans="2:3" s="18" customFormat="1" ht="15.75" customHeight="1">
      <c r="B56" s="57"/>
      <c r="C56" s="57"/>
    </row>
    <row r="57" spans="2:12" s="58" customFormat="1" ht="15.75" customHeight="1">
      <c r="B57" s="149" t="s">
        <v>51</v>
      </c>
      <c r="C57" s="149"/>
      <c r="D57" s="18"/>
      <c r="E57" s="18"/>
      <c r="F57" s="18"/>
      <c r="G57" s="18"/>
      <c r="H57" s="18"/>
      <c r="I57" s="18"/>
      <c r="J57" s="18"/>
      <c r="K57" s="18"/>
      <c r="L57" s="18"/>
    </row>
    <row r="58" spans="2:3" ht="15.75" customHeight="1">
      <c r="B58" s="59" t="s">
        <v>52</v>
      </c>
      <c r="C58" s="60"/>
    </row>
    <row r="59" spans="2:3" ht="15.75" customHeight="1">
      <c r="B59" s="141" t="s">
        <v>53</v>
      </c>
      <c r="C59" s="141"/>
    </row>
    <row r="60" spans="2:3" ht="15.75" customHeight="1">
      <c r="B60" s="141" t="s">
        <v>54</v>
      </c>
      <c r="C60" s="141"/>
    </row>
    <row r="61" spans="2:3" ht="15.75" customHeight="1">
      <c r="B61" s="141" t="s">
        <v>55</v>
      </c>
      <c r="C61" s="141"/>
    </row>
    <row r="62" spans="2:3" ht="15.75" customHeight="1">
      <c r="B62" s="140" t="s">
        <v>56</v>
      </c>
      <c r="C62" s="140"/>
    </row>
    <row r="63" spans="2:3" ht="15.75" customHeight="1">
      <c r="B63" s="59" t="s">
        <v>57</v>
      </c>
      <c r="C63" s="60"/>
    </row>
    <row r="64" spans="2:3" ht="15.75" customHeight="1">
      <c r="B64" s="59" t="s">
        <v>58</v>
      </c>
      <c r="C64" s="60"/>
    </row>
    <row r="65" spans="2:3" ht="15.75" customHeight="1">
      <c r="B65" s="61" t="s">
        <v>59</v>
      </c>
      <c r="C65" s="62"/>
    </row>
    <row r="66" spans="2:3" ht="15.75" customHeight="1">
      <c r="B66" s="140" t="s">
        <v>60</v>
      </c>
      <c r="C66" s="140"/>
    </row>
    <row r="67" spans="2:3" ht="15.75" customHeight="1">
      <c r="B67" s="59" t="s">
        <v>61</v>
      </c>
      <c r="C67" s="60"/>
    </row>
    <row r="68" spans="2:3" ht="15.75" customHeight="1">
      <c r="B68" s="141" t="s">
        <v>62</v>
      </c>
      <c r="C68" s="141"/>
    </row>
    <row r="69" spans="2:3" ht="6" customHeight="1">
      <c r="B69" s="142" t="s">
        <v>63</v>
      </c>
      <c r="C69" s="142"/>
    </row>
    <row r="70" spans="2:3" ht="6" customHeight="1">
      <c r="B70" s="142"/>
      <c r="C70" s="142"/>
    </row>
    <row r="71" spans="2:3" ht="15.75" customHeight="1">
      <c r="B71" s="142"/>
      <c r="C71" s="142"/>
    </row>
  </sheetData>
  <sheetProtection selectLockedCells="1" selectUnlockedCells="1"/>
  <mergeCells count="16">
    <mergeCell ref="B2:C2"/>
    <mergeCell ref="B3:C3"/>
    <mergeCell ref="B4:C4"/>
    <mergeCell ref="B9:C9"/>
    <mergeCell ref="B16:C16"/>
    <mergeCell ref="B18:C18"/>
    <mergeCell ref="B62:C62"/>
    <mergeCell ref="B66:C66"/>
    <mergeCell ref="B68:C68"/>
    <mergeCell ref="B69:C71"/>
    <mergeCell ref="B24:B25"/>
    <mergeCell ref="C24:C25"/>
    <mergeCell ref="B57:C57"/>
    <mergeCell ref="B59:C59"/>
    <mergeCell ref="B60:C60"/>
    <mergeCell ref="B61:C6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 Gouvea Viana Borges</dc:creator>
  <cp:keywords/>
  <dc:description/>
  <cp:lastModifiedBy>inesborges</cp:lastModifiedBy>
  <cp:lastPrinted>2014-10-29T15:17:28Z</cp:lastPrinted>
  <dcterms:created xsi:type="dcterms:W3CDTF">2014-10-24T12:31:49Z</dcterms:created>
  <dcterms:modified xsi:type="dcterms:W3CDTF">2014-10-29T17:23:32Z</dcterms:modified>
  <cp:category/>
  <cp:version/>
  <cp:contentType/>
  <cp:contentStatus/>
</cp:coreProperties>
</file>