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activeTab="0"/>
  </bookViews>
  <sheets>
    <sheet name="Servente-Encarregado" sheetId="1" r:id="rId1"/>
  </sheets>
  <definedNames>
    <definedName name="Excel_BuiltIn_Print_Area_1">#REF!</definedName>
    <definedName name="Excel_BuiltIn_Print_Area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148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153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54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0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174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18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89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191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sharedStrings.xml><?xml version="1.0" encoding="utf-8"?>
<sst xmlns="http://schemas.openxmlformats.org/spreadsheetml/2006/main" count="265" uniqueCount="143">
  <si>
    <t>ENTRADA DE DADOS</t>
  </si>
  <si>
    <t>REMUNERAÇÃO CONFORME ACORDO COLETIVO DA CATEGORIA</t>
  </si>
  <si>
    <t>DATA BASE DA CATEGORIA(dia/mês/ano):_____/______/______</t>
  </si>
  <si>
    <t>INSUMOS DE MÃO-DE-OBRA</t>
  </si>
  <si>
    <t>TRIBUTOS</t>
  </si>
  <si>
    <t>em R$</t>
  </si>
  <si>
    <t>Descrição do Item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</si>
  <si>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</si>
  <si>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</si>
  <si>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</si>
  <si>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</si>
  <si>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</si>
  <si>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médica-odontológica</t>
  </si>
  <si>
    <t>Total dos Insumos de Mão-de-Obra</t>
  </si>
  <si>
    <t>Insumos Diversos</t>
  </si>
  <si>
    <t>Total de Insumos Diversos</t>
  </si>
  <si>
    <t>Demais Componentes</t>
  </si>
  <si>
    <t>Total dos Demais Componentes</t>
  </si>
  <si>
    <t>COFINS - 3%</t>
  </si>
  <si>
    <t xml:space="preserve">ISSQN - </t>
  </si>
  <si>
    <t>Total dos Tributos (sobre o faturamento)</t>
  </si>
  <si>
    <t>Total do Montante B</t>
  </si>
  <si>
    <t>FATOR K</t>
  </si>
  <si>
    <t>%</t>
  </si>
  <si>
    <t>Áreas reais da unidade (em M²)</t>
  </si>
  <si>
    <t>Tipos de Áreas</t>
  </si>
  <si>
    <t>Edifício Sede</t>
  </si>
  <si>
    <t>Anexos</t>
  </si>
  <si>
    <t>PRMs ou PTMs</t>
  </si>
  <si>
    <t>TOTAL</t>
  </si>
  <si>
    <r>
      <t xml:space="preserve">Salário do servente </t>
    </r>
    <r>
      <rPr>
        <b/>
        <sz val="10"/>
        <rFont val="Arial"/>
        <family val="2"/>
      </rPr>
      <t>(1)</t>
    </r>
  </si>
  <si>
    <r>
      <t xml:space="preserve">área interna </t>
    </r>
    <r>
      <rPr>
        <b/>
        <sz val="8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</si>
  <si>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(2)</t>
    </r>
  </si>
  <si>
    <r>
      <t xml:space="preserve">área externa </t>
    </r>
    <r>
      <rPr>
        <b/>
        <sz val="8"/>
        <rFont val="Arial"/>
        <family val="2"/>
      </rPr>
      <t>(1)</t>
    </r>
  </si>
  <si>
    <r>
      <t xml:space="preserve">Informar o percentual do adicional periculosidade   </t>
    </r>
    <r>
      <rPr>
        <b/>
        <sz val="10"/>
        <rFont val="Arial"/>
        <family val="2"/>
      </rPr>
      <t>(2)</t>
    </r>
  </si>
  <si>
    <r>
      <t xml:space="preserve">fachaçada envidraçada </t>
    </r>
    <r>
      <rPr>
        <b/>
        <sz val="8"/>
        <rFont val="Arial"/>
        <family val="2"/>
      </rPr>
      <t>(1)</t>
    </r>
  </si>
  <si>
    <r>
      <t xml:space="preserve">área médico hospitalar </t>
    </r>
    <r>
      <rPr>
        <b/>
        <sz val="8"/>
        <rFont val="Arial"/>
        <family val="2"/>
      </rPr>
      <t>(1)</t>
    </r>
  </si>
  <si>
    <r>
      <t>Valor do uniforme</t>
    </r>
    <r>
      <rPr>
        <b/>
        <sz val="10"/>
        <rFont val="Arial"/>
        <family val="2"/>
      </rPr>
      <t xml:space="preserve"> (3)</t>
    </r>
  </si>
  <si>
    <r>
      <t xml:space="preserve">Valor do vale transporte </t>
    </r>
    <r>
      <rPr>
        <b/>
        <sz val="10"/>
        <rFont val="Arial"/>
        <family val="2"/>
      </rPr>
      <t>(4)</t>
    </r>
  </si>
  <si>
    <r>
      <t>Observações:</t>
    </r>
    <r>
      <rPr>
        <sz val="10"/>
        <rFont val="Arial"/>
        <family val="2"/>
      </rPr>
      <t xml:space="preserve"> </t>
    </r>
  </si>
  <si>
    <r>
      <t xml:space="preserve">Valor do auxílio-alimentação </t>
    </r>
    <r>
      <rPr>
        <b/>
        <sz val="10"/>
        <rFont val="Arial"/>
        <family val="2"/>
      </rPr>
      <t>(5)</t>
    </r>
  </si>
  <si>
    <r>
      <t>(1)</t>
    </r>
    <r>
      <rPr>
        <sz val="10"/>
        <rFont val="Arial"/>
        <family val="2"/>
      </rPr>
      <t xml:space="preserve"> Informar as metragens reais da unidade de acordo com os tipos de áreas existentes, incluindo PRMs/PTMs conforme abrangência da </t>
    </r>
  </si>
  <si>
    <r>
      <t xml:space="preserve">Valor da assistência médica-odontológica </t>
    </r>
    <r>
      <rPr>
        <b/>
        <sz val="10"/>
        <rFont val="Arial"/>
        <family val="2"/>
      </rPr>
      <t>(6)</t>
    </r>
  </si>
  <si>
    <t>licitação/contratação.</t>
  </si>
  <si>
    <r>
      <t xml:space="preserve">Outros custos por funcionário (especificar) </t>
    </r>
    <r>
      <rPr>
        <b/>
        <sz val="10"/>
        <rFont val="Arial"/>
        <family val="2"/>
      </rPr>
      <t>(7)</t>
    </r>
  </si>
  <si>
    <t xml:space="preserve">Preço do homem-mês : </t>
  </si>
  <si>
    <t>INSUMOS DIVERSOS</t>
  </si>
  <si>
    <t>servente</t>
  </si>
  <si>
    <r>
      <t>Fornecimento de material de limpeza</t>
    </r>
    <r>
      <rPr>
        <b/>
        <sz val="10"/>
        <rFont val="Arial"/>
        <family val="2"/>
      </rPr>
      <t xml:space="preserve">   (8)</t>
    </r>
  </si>
  <si>
    <t>encarregado</t>
  </si>
  <si>
    <r>
      <t xml:space="preserve">Informar o percentual do ISSQN do município   </t>
    </r>
    <r>
      <rPr>
        <b/>
        <sz val="10"/>
        <rFont val="Arial"/>
        <family val="2"/>
      </rPr>
      <t>(11)</t>
    </r>
  </si>
  <si>
    <t>ANEXO III-F da IN/SLTI nº 2/2008 alterada.</t>
  </si>
  <si>
    <t>(Produtivades mínimas do art. 44, considerando os parâmetros do anexo V da IN/SLTI)</t>
  </si>
  <si>
    <t>Tipo de área</t>
  </si>
  <si>
    <r>
      <t xml:space="preserve">Produtividade ( I )
(1/m²) </t>
    </r>
    <r>
      <rPr>
        <b/>
        <sz val="8"/>
        <rFont val="Arial"/>
        <family val="2"/>
      </rPr>
      <t>(1)</t>
    </r>
  </si>
  <si>
    <t>Preço do homem-mês ( II )</t>
  </si>
  <si>
    <t>Subtotal (R$/m²)
( I ) x ( II )</t>
  </si>
  <si>
    <t>PLANILHA DE CUSTOS</t>
  </si>
  <si>
    <t>área interna</t>
  </si>
  <si>
    <t>Serviços de Limpeza e Conservação - Servente</t>
  </si>
  <si>
    <t xml:space="preserve">servente </t>
  </si>
  <si>
    <t>Custo</t>
  </si>
  <si>
    <t>preço por m² total - área interna</t>
  </si>
  <si>
    <t>área externa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</si>
  <si>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</si>
  <si>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</si>
  <si>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</si>
  <si>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preço por m² total - área externa</t>
  </si>
  <si>
    <t>Valor do adicional de periculosidade</t>
  </si>
  <si>
    <t>área médico hospitalar</t>
  </si>
  <si>
    <r>
      <t xml:space="preserve">Encargos Sociais - 72,11% </t>
    </r>
    <r>
      <rPr>
        <b/>
        <sz val="10"/>
        <rFont val="Arial"/>
        <family val="2"/>
      </rPr>
      <t>(9)</t>
    </r>
  </si>
  <si>
    <t>preço por m² total - área médico hospitalar</t>
  </si>
  <si>
    <r>
      <t xml:space="preserve">Frequência mês/semestre ( II )
 (em horas) </t>
    </r>
    <r>
      <rPr>
        <b/>
        <sz val="8"/>
        <rFont val="Arial"/>
        <family val="2"/>
      </rPr>
      <t>(2)</t>
    </r>
  </si>
  <si>
    <t>Jornada no Mês ( III )
(em horas)</t>
  </si>
  <si>
    <t>Coeficiente (ki)
( I )x( II )x( III )=( IV )</t>
  </si>
  <si>
    <t>Preço do homem-mês ( V )</t>
  </si>
  <si>
    <t>Subtotal(R$/m²)
( IV )x( V )</t>
  </si>
  <si>
    <t>esquadria externa</t>
  </si>
  <si>
    <t>Valor de outros custos por funcionário (especificar)</t>
  </si>
  <si>
    <t>preço por m² total - esquadria externa</t>
  </si>
  <si>
    <t>Fornecimento de material de limpeza</t>
  </si>
  <si>
    <t>fachaçada envidraçada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</si>
  <si>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e Insumos</t>
    </r>
    <r>
      <rPr>
        <b/>
        <sz val="10"/>
        <rFont val="Arial"/>
        <family val="2"/>
      </rPr>
      <t xml:space="preserve"> (10)</t>
    </r>
  </si>
  <si>
    <t>preço por m² total - fachada envidraçada</t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</si>
  <si>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(10)</t>
    </r>
  </si>
  <si>
    <t>Valor Mensal dos Serviços (Considerando todas os edifícios - Prédio-Sede, anexos, PTMs)</t>
  </si>
  <si>
    <t>Tributos (11)</t>
  </si>
  <si>
    <t xml:space="preserve">Preço por m² mensal
 (R$/m²) </t>
  </si>
  <si>
    <t>Área (m²)</t>
  </si>
  <si>
    <t>Limite por tipo de 
área(R$)</t>
  </si>
  <si>
    <t xml:space="preserve">PIS - 0,65% </t>
  </si>
  <si>
    <t xml:space="preserve"> %</t>
  </si>
  <si>
    <t>Faturamento = preço unitário por empregado (montante A + montante B)</t>
  </si>
  <si>
    <t>Observações: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</si>
  <si>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</t>
    </r>
  </si>
  <si>
    <r>
      <t>(1)</t>
    </r>
    <r>
      <rPr>
        <sz val="10"/>
        <rFont val="Arial"/>
        <family val="2"/>
      </rPr>
      <t xml:space="preserve"> Produtividades mínimas determinadas no art.44 da IN/SLTI nº 2/2008 alterada.</t>
    </r>
  </si>
  <si>
    <t xml:space="preserve">                      dos valores individuais.</t>
  </si>
  <si>
    <r>
      <t>(1)</t>
    </r>
    <r>
      <rPr>
        <sz val="10"/>
        <rFont val="Arial"/>
        <family val="2"/>
      </rPr>
      <t xml:space="preserve"> A produtividade do encarregado é apurada com base na relação entre serventes e encarregados apontada no §1º do art. 44 da IN/SLTI nº 2/2008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</si>
  <si>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</si>
  <si>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t xml:space="preserve"> alterada, caso seja modificada estes valores das planilhas deverão ser adequados à nova situação, bem como os coeficientes deles decorrentes (Ki).</t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</si>
  <si>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</si>
  <si>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r>
      <t xml:space="preserve">(2) </t>
    </r>
    <r>
      <rPr>
        <sz val="10"/>
        <rFont val="Arial"/>
        <family val="2"/>
      </rPr>
      <t>Freqüência sugerida em horas por mês, no caso da área de esquadrias externas, e horas por semestre, no caso da área de fachaçada envridraçada.</t>
    </r>
  </si>
  <si>
    <r>
      <t xml:space="preserve">(3)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</si>
  <si>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t xml:space="preserve"> Caso a freqüência adotada, em horas, por mês ou semestre, seja diferente, estes valores deverão ser adequados à nova situação, bem como os </t>
  </si>
  <si>
    <r>
      <t>(4)</t>
    </r>
    <r>
      <rPr>
        <sz val="10"/>
        <rFont val="Arial"/>
        <family val="2"/>
      </rPr>
      <t xml:space="preserve"> Informar o valor correspondente ao custo diário das passagens para os dias trabalhados.</t>
    </r>
  </si>
  <si>
    <t xml:space="preserve">coeficientes delas decorrentes (Ki). </t>
  </si>
  <si>
    <r>
      <t>(5)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</si>
  <si>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(6)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</si>
  <si>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(7)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</si>
  <si>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 xml:space="preserve">(8) </t>
    </r>
    <r>
      <rPr>
        <sz val="10"/>
        <rFont val="Arial"/>
        <family val="2"/>
      </rPr>
      <t>Valor médio nacional dos contratos no âmbito do MPU, inclusive depreciação de equipamentos.</t>
    </r>
  </si>
  <si>
    <r>
      <t xml:space="preserve">(9) </t>
    </r>
    <r>
      <rPr>
        <sz val="10"/>
        <rFont val="Arial"/>
        <family val="2"/>
      </rPr>
      <t>Percentual definido em estudo realizado pela SCI/STF e adotado pela AUDIN/MPU</t>
    </r>
  </si>
  <si>
    <r>
      <t>(10)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</si>
  <si>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(11)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</si>
  <si>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de nº 539, de 25/04/2005, excluídos o IRPJ e a CSLL por força do Acórdão TCU nº 950/2007 – Plenário.</t>
  </si>
  <si>
    <t xml:space="preserve">     Quanto ao ISSQN utilizar a alíquota prevista na legislação municipal onde os serviços serão prestados.</t>
  </si>
  <si>
    <r>
      <t xml:space="preserve">Salário do Encarregado </t>
    </r>
    <r>
      <rPr>
        <b/>
        <sz val="10"/>
        <rFont val="Arial"/>
        <family val="2"/>
      </rPr>
      <t>(1)</t>
    </r>
  </si>
  <si>
    <r>
      <t xml:space="preserve">Quantidade de empregados </t>
    </r>
    <r>
      <rPr>
        <b/>
        <sz val="10"/>
        <rFont val="Arial"/>
        <family val="2"/>
      </rPr>
      <t>(3)</t>
    </r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</si>
  <si>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</si>
  <si>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 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</si>
  <si>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</si>
  <si>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Valor da assistência médica-odontológica </t>
    </r>
    <r>
      <rPr>
        <b/>
        <sz val="10"/>
        <rFont val="Arial"/>
        <family val="2"/>
      </rPr>
      <t>(7)</t>
    </r>
  </si>
  <si>
    <t>Serviços de Limpeza e Conservação - Encarregado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</si>
  <si>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</t>
    </r>
  </si>
  <si>
    <r>
      <t>(3)</t>
    </r>
    <r>
      <rPr>
        <sz val="10"/>
        <rFont val="Arial"/>
        <family val="2"/>
      </rPr>
      <t xml:space="preserve"> Não informar mais o número de empregados da categoria, pois será definido pela contratada conforme área física a ser limpa e </t>
    </r>
  </si>
  <si>
    <t xml:space="preserve">     produtividades previstas no projeto básico.</t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</si>
  <si>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</si>
  <si>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</si>
  <si>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</si>
  <si>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</si>
  <si>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</si>
  <si>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 xml:space="preserve">esquadria externa (face interna </t>
    </r>
    <r>
      <rPr>
        <b/>
        <sz val="8"/>
        <rFont val="Arial"/>
        <family val="2"/>
      </rPr>
      <t>(1)</t>
    </r>
  </si>
  <si>
    <t>jauzeiro</t>
  </si>
  <si>
    <t>Jauzeiro</t>
  </si>
  <si>
    <r>
      <t>Salário do Jauzeiro</t>
    </r>
    <r>
      <rPr>
        <b/>
        <sz val="10"/>
        <rFont val="Arial"/>
        <family val="2"/>
      </rPr>
      <t>(1)</t>
    </r>
  </si>
  <si>
    <t>Serviços de Limpeza e Conservação - Jauzeiro</t>
  </si>
  <si>
    <r>
      <t>Fornecimento de equipamentos</t>
    </r>
    <r>
      <rPr>
        <b/>
        <sz val="10"/>
        <rFont val="Arial"/>
        <family val="2"/>
      </rPr>
      <t xml:space="preserve">   (8)</t>
    </r>
  </si>
  <si>
    <r>
      <t>Fornecimento de equipamentos</t>
    </r>
    <r>
      <rPr>
        <b/>
        <sz val="10"/>
        <rFont val="Arial"/>
        <family val="2"/>
      </rPr>
      <t xml:space="preserve">  </t>
    </r>
  </si>
  <si>
    <r>
      <t>Fornecimento equipamentos</t>
    </r>
    <r>
      <rPr>
        <b/>
        <sz val="10"/>
        <rFont val="Arial"/>
        <family val="2"/>
      </rPr>
      <t xml:space="preserve">  (Específicos e gerais)  (8)</t>
    </r>
  </si>
  <si>
    <r>
      <t xml:space="preserve">Outros custos por funcionário (equipamentos gerais  - REP E  MARMITEIRO) </t>
    </r>
    <r>
      <rPr>
        <b/>
        <sz val="10"/>
        <rFont val="Arial"/>
        <family val="2"/>
      </rPr>
      <t>(8)</t>
    </r>
  </si>
  <si>
    <t>Valor de outros custos por funcionário (equipamentos - REP E  MARMITEIRO)</t>
  </si>
  <si>
    <r>
      <t>Fornecimento equipamentos</t>
    </r>
    <r>
      <rPr>
        <b/>
        <sz val="10"/>
        <rFont val="Arial"/>
        <family val="2"/>
      </rPr>
      <t xml:space="preserve"> (específicos e gerais   (8)</t>
    </r>
  </si>
  <si>
    <t>Limite Máximo Contratação mensal (R$)</t>
  </si>
  <si>
    <t>Limite Máximo Contratação anual (R$)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</si>
</sst>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_);\(0\)"/>
    <numFmt numFmtId="174" formatCode="0.00000E+00;\ࣸ"/>
    <numFmt numFmtId="175" formatCode="_(* #,##0_);_(* \(#,##0\);_(* \-??_);_(@_)"/>
    <numFmt numFmtId="176" formatCode="_(* #,##0.000000_);_(* \(#,##0.000000\);_(* \-??_);_(@_)"/>
    <numFmt numFmtId="177" formatCode="_(* #,##0.0000000000_);_(* \(#,##0.0000000000\);_(* \-??????????_);_(@_)"/>
    <numFmt numFmtId="178" formatCode="_(* #,##0.0000000_);_(* \(#,##0.0000000\);_(* \-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trike/>
      <sz val="10"/>
      <color indexed="8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 horizontal="center"/>
      <protection locked="0"/>
    </xf>
    <xf numFmtId="39" fontId="0" fillId="0" borderId="13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8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0" fontId="19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39" fontId="18" fillId="24" borderId="0" xfId="0" applyNumberFormat="1" applyFont="1" applyFill="1" applyAlignment="1" applyProtection="1">
      <alignment/>
      <protection/>
    </xf>
    <xf numFmtId="0" fontId="0" fillId="0" borderId="15" xfId="0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9" fillId="16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/>
      <protection/>
    </xf>
    <xf numFmtId="39" fontId="0" fillId="0" borderId="15" xfId="0" applyNumberFormat="1" applyFont="1" applyBorder="1" applyAlignment="1" applyProtection="1">
      <alignment horizontal="center" vertical="center" wrapText="1"/>
      <protection/>
    </xf>
    <xf numFmtId="39" fontId="0" fillId="0" borderId="16" xfId="0" applyNumberFormat="1" applyFont="1" applyBorder="1" applyAlignment="1" applyProtection="1">
      <alignment horizontal="center" vertical="center" wrapText="1"/>
      <protection/>
    </xf>
    <xf numFmtId="39" fontId="19" fillId="16" borderId="20" xfId="0" applyNumberFormat="1" applyFont="1" applyFill="1" applyBorder="1" applyAlignment="1" applyProtection="1">
      <alignment horizontal="center" vertical="center" wrapText="1"/>
      <protection/>
    </xf>
    <xf numFmtId="39" fontId="19" fillId="16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/>
      <protection/>
    </xf>
    <xf numFmtId="39" fontId="0" fillId="0" borderId="16" xfId="0" applyNumberFormat="1" applyFont="1" applyBorder="1" applyAlignment="1" applyProtection="1">
      <alignment horizontal="left" vertical="center" wrapText="1"/>
      <protection/>
    </xf>
    <xf numFmtId="0" fontId="19" fillId="16" borderId="22" xfId="0" applyFont="1" applyFill="1" applyBorder="1" applyAlignment="1" applyProtection="1">
      <alignment horizontal="center" vertical="center" wrapText="1"/>
      <protection/>
    </xf>
    <xf numFmtId="39" fontId="19" fillId="16" borderId="22" xfId="0" applyNumberFormat="1" applyFont="1" applyFill="1" applyBorder="1" applyAlignment="1" applyProtection="1">
      <alignment horizontal="center" vertical="center" wrapText="1"/>
      <protection/>
    </xf>
    <xf numFmtId="39" fontId="0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39" fontId="19" fillId="0" borderId="22" xfId="0" applyNumberFormat="1" applyFont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/>
    </xf>
    <xf numFmtId="0" fontId="24" fillId="24" borderId="24" xfId="0" applyFont="1" applyFill="1" applyBorder="1" applyAlignment="1" applyProtection="1">
      <alignment horizontal="left"/>
      <protection/>
    </xf>
    <xf numFmtId="0" fontId="25" fillId="24" borderId="0" xfId="0" applyFont="1" applyFill="1" applyAlignment="1" applyProtection="1">
      <alignment/>
      <protection/>
    </xf>
    <xf numFmtId="0" fontId="19" fillId="24" borderId="25" xfId="0" applyFont="1" applyFill="1" applyBorder="1" applyAlignment="1" applyProtection="1">
      <alignment horizontal="left"/>
      <protection/>
    </xf>
    <xf numFmtId="0" fontId="0" fillId="24" borderId="25" xfId="0" applyFont="1" applyFill="1" applyBorder="1" applyAlignment="1" applyProtection="1">
      <alignment horizontal="left"/>
      <protection/>
    </xf>
    <xf numFmtId="0" fontId="19" fillId="24" borderId="25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>
      <alignment/>
    </xf>
    <xf numFmtId="0" fontId="0" fillId="24" borderId="26" xfId="0" applyFont="1" applyFill="1" applyBorder="1" applyAlignment="1" applyProtection="1">
      <alignment horizontal="left"/>
      <protection/>
    </xf>
    <xf numFmtId="0" fontId="19" fillId="0" borderId="27" xfId="0" applyFont="1" applyBorder="1" applyAlignment="1">
      <alignment vertical="center"/>
    </xf>
    <xf numFmtId="0" fontId="0" fillId="0" borderId="0" xfId="0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28" xfId="0" applyFont="1" applyFill="1" applyBorder="1" applyAlignment="1">
      <alignment/>
    </xf>
    <xf numFmtId="0" fontId="19" fillId="6" borderId="22" xfId="0" applyFont="1" applyFill="1" applyBorder="1" applyAlignment="1">
      <alignment horizontal="center" vertical="center"/>
    </xf>
    <xf numFmtId="4" fontId="0" fillId="0" borderId="29" xfId="0" applyNumberFormat="1" applyFont="1" applyBorder="1" applyAlignment="1" applyProtection="1">
      <alignment horizontal="center" vertical="top" wrapText="1"/>
      <protection locked="0"/>
    </xf>
    <xf numFmtId="0" fontId="19" fillId="16" borderId="30" xfId="0" applyFont="1" applyFill="1" applyBorder="1" applyAlignment="1">
      <alignment vertical="center"/>
    </xf>
    <xf numFmtId="172" fontId="0" fillId="0" borderId="31" xfId="62" applyFont="1" applyFill="1" applyBorder="1" applyAlignment="1" applyProtection="1">
      <alignment/>
      <protection/>
    </xf>
    <xf numFmtId="172" fontId="0" fillId="0" borderId="32" xfId="0" applyNumberFormat="1" applyBorder="1" applyAlignment="1">
      <alignment/>
    </xf>
    <xf numFmtId="3" fontId="0" fillId="0" borderId="33" xfId="0" applyNumberFormat="1" applyFont="1" applyBorder="1" applyAlignment="1" applyProtection="1">
      <alignment horizontal="center"/>
      <protection locked="0"/>
    </xf>
    <xf numFmtId="0" fontId="19" fillId="16" borderId="10" xfId="0" applyFont="1" applyFill="1" applyBorder="1" applyAlignment="1">
      <alignment vertical="center"/>
    </xf>
    <xf numFmtId="172" fontId="0" fillId="0" borderId="33" xfId="62" applyFont="1" applyFill="1" applyBorder="1" applyAlignment="1" applyProtection="1">
      <alignment/>
      <protection/>
    </xf>
    <xf numFmtId="172" fontId="0" fillId="0" borderId="12" xfId="0" applyNumberFormat="1" applyBorder="1" applyAlignment="1">
      <alignment/>
    </xf>
    <xf numFmtId="0" fontId="19" fillId="16" borderId="11" xfId="0" applyFont="1" applyFill="1" applyBorder="1" applyAlignment="1">
      <alignment vertical="center"/>
    </xf>
    <xf numFmtId="172" fontId="0" fillId="0" borderId="34" xfId="62" applyFont="1" applyFill="1" applyBorder="1" applyAlignment="1" applyProtection="1">
      <alignment/>
      <protection/>
    </xf>
    <xf numFmtId="172" fontId="0" fillId="0" borderId="13" xfId="0" applyNumberFormat="1" applyBorder="1" applyAlignment="1">
      <alignment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39" fontId="0" fillId="0" borderId="32" xfId="0" applyNumberFormat="1" applyFont="1" applyBorder="1" applyAlignment="1" applyProtection="1">
      <alignment horizontal="center"/>
      <protection locked="0"/>
    </xf>
    <xf numFmtId="0" fontId="18" fillId="24" borderId="35" xfId="0" applyFont="1" applyFill="1" applyBorder="1" applyAlignment="1">
      <alignment/>
    </xf>
    <xf numFmtId="0" fontId="0" fillId="24" borderId="35" xfId="0" applyFill="1" applyBorder="1" applyAlignment="1">
      <alignment/>
    </xf>
    <xf numFmtId="0" fontId="0" fillId="0" borderId="36" xfId="0" applyBorder="1" applyAlignment="1">
      <alignment/>
    </xf>
    <xf numFmtId="0" fontId="0" fillId="24" borderId="2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37" xfId="0" applyFill="1" applyBorder="1" applyAlignment="1">
      <alignment/>
    </xf>
    <xf numFmtId="0" fontId="0" fillId="0" borderId="25" xfId="0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19" fillId="0" borderId="0" xfId="0" applyFont="1" applyAlignment="1">
      <alignment/>
    </xf>
    <xf numFmtId="0" fontId="19" fillId="16" borderId="33" xfId="0" applyFont="1" applyFill="1" applyBorder="1" applyAlignment="1">
      <alignment vertical="center"/>
    </xf>
    <xf numFmtId="173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vertical="center" wrapText="1"/>
      <protection locked="0"/>
    </xf>
    <xf numFmtId="3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0" fontId="19" fillId="16" borderId="40" xfId="0" applyFont="1" applyFill="1" applyBorder="1" applyAlignment="1">
      <alignment vertical="center"/>
    </xf>
    <xf numFmtId="0" fontId="19" fillId="16" borderId="41" xfId="0" applyFont="1" applyFill="1" applyBorder="1" applyAlignment="1">
      <alignment/>
    </xf>
    <xf numFmtId="0" fontId="19" fillId="16" borderId="42" xfId="0" applyFont="1" applyFill="1" applyBorder="1" applyAlignment="1">
      <alignment/>
    </xf>
    <xf numFmtId="0" fontId="0" fillId="16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17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19" fillId="24" borderId="0" xfId="0" applyFont="1" applyFill="1" applyAlignment="1" applyProtection="1">
      <alignment/>
      <protection/>
    </xf>
    <xf numFmtId="174" fontId="0" fillId="0" borderId="31" xfId="0" applyNumberFormat="1" applyBorder="1" applyAlignment="1">
      <alignment/>
    </xf>
    <xf numFmtId="0" fontId="0" fillId="6" borderId="43" xfId="0" applyFill="1" applyBorder="1" applyAlignment="1">
      <alignment/>
    </xf>
    <xf numFmtId="0" fontId="19" fillId="0" borderId="44" xfId="0" applyFont="1" applyBorder="1" applyAlignment="1">
      <alignment/>
    </xf>
    <xf numFmtId="0" fontId="0" fillId="0" borderId="33" xfId="0" applyBorder="1" applyAlignment="1">
      <alignment/>
    </xf>
    <xf numFmtId="172" fontId="0" fillId="0" borderId="33" xfId="0" applyNumberFormat="1" applyBorder="1" applyAlignment="1">
      <alignment/>
    </xf>
    <xf numFmtId="0" fontId="0" fillId="0" borderId="12" xfId="0" applyBorder="1" applyAlignment="1">
      <alignment/>
    </xf>
    <xf numFmtId="39" fontId="0" fillId="0" borderId="15" xfId="0" applyNumberFormat="1" applyFont="1" applyBorder="1" applyAlignment="1" applyProtection="1">
      <alignment vertical="center" wrapText="1"/>
      <protection/>
    </xf>
    <xf numFmtId="4" fontId="19" fillId="16" borderId="45" xfId="0" applyNumberFormat="1" applyFont="1" applyFill="1" applyBorder="1" applyAlignment="1" applyProtection="1">
      <alignment horizontal="center" vertical="center" wrapText="1"/>
      <protection/>
    </xf>
    <xf numFmtId="39" fontId="0" fillId="0" borderId="19" xfId="0" applyNumberFormat="1" applyFont="1" applyBorder="1" applyAlignment="1" applyProtection="1">
      <alignment horizontal="center" vertical="center" wrapText="1"/>
      <protection/>
    </xf>
    <xf numFmtId="39" fontId="0" fillId="0" borderId="46" xfId="0" applyNumberFormat="1" applyFont="1" applyBorder="1" applyAlignment="1" applyProtection="1">
      <alignment horizontal="center" vertical="center" wrapText="1"/>
      <protection/>
    </xf>
    <xf numFmtId="0" fontId="19" fillId="16" borderId="31" xfId="0" applyFont="1" applyFill="1" applyBorder="1" applyAlignment="1">
      <alignment/>
    </xf>
    <xf numFmtId="4" fontId="18" fillId="24" borderId="0" xfId="0" applyNumberFormat="1" applyFont="1" applyFill="1" applyAlignment="1" applyProtection="1">
      <alignment/>
      <protection/>
    </xf>
    <xf numFmtId="0" fontId="0" fillId="16" borderId="31" xfId="0" applyFont="1" applyFill="1" applyBorder="1" applyAlignment="1">
      <alignment vertical="center"/>
    </xf>
    <xf numFmtId="175" fontId="0" fillId="0" borderId="33" xfId="0" applyNumberFormat="1" applyBorder="1" applyAlignment="1">
      <alignment horizontal="center"/>
    </xf>
    <xf numFmtId="176" fontId="0" fillId="0" borderId="33" xfId="0" applyNumberFormat="1" applyBorder="1" applyAlignment="1">
      <alignment/>
    </xf>
    <xf numFmtId="177" fontId="0" fillId="0" borderId="33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0" fillId="6" borderId="31" xfId="0" applyFill="1" applyBorder="1" applyAlignment="1">
      <alignment vertical="center"/>
    </xf>
    <xf numFmtId="0" fontId="0" fillId="6" borderId="31" xfId="0" applyFill="1" applyBorder="1" applyAlignment="1">
      <alignment/>
    </xf>
    <xf numFmtId="0" fontId="19" fillId="6" borderId="31" xfId="0" applyFont="1" applyFill="1" applyBorder="1" applyAlignment="1">
      <alignment horizontal="right" vertical="center"/>
    </xf>
    <xf numFmtId="0" fontId="19" fillId="0" borderId="31" xfId="0" applyFont="1" applyBorder="1" applyAlignment="1">
      <alignment/>
    </xf>
    <xf numFmtId="0" fontId="19" fillId="16" borderId="31" xfId="0" applyFont="1" applyFill="1" applyBorder="1" applyAlignment="1">
      <alignment horizontal="center"/>
    </xf>
    <xf numFmtId="39" fontId="0" fillId="0" borderId="46" xfId="0" applyNumberFormat="1" applyFont="1" applyFill="1" applyBorder="1" applyAlignment="1" applyProtection="1">
      <alignment horizontal="center" vertical="center" wrapText="1"/>
      <protection/>
    </xf>
    <xf numFmtId="177" fontId="19" fillId="0" borderId="31" xfId="0" applyNumberFormat="1" applyFont="1" applyBorder="1" applyAlignment="1">
      <alignment/>
    </xf>
    <xf numFmtId="0" fontId="19" fillId="0" borderId="47" xfId="0" applyFont="1" applyBorder="1" applyAlignment="1" applyProtection="1">
      <alignment horizontal="center" vertical="center" wrapText="1"/>
      <protection/>
    </xf>
    <xf numFmtId="39" fontId="0" fillId="0" borderId="28" xfId="0" applyNumberFormat="1" applyFont="1" applyBorder="1" applyAlignment="1" applyProtection="1">
      <alignment horizontal="center" vertical="center" wrapText="1"/>
      <protection/>
    </xf>
    <xf numFmtId="0" fontId="23" fillId="24" borderId="0" xfId="0" applyFont="1" applyFill="1" applyAlignment="1" applyProtection="1">
      <alignment/>
      <protection/>
    </xf>
    <xf numFmtId="0" fontId="19" fillId="16" borderId="31" xfId="0" applyFont="1" applyFill="1" applyBorder="1" applyAlignment="1">
      <alignment vertical="center"/>
    </xf>
    <xf numFmtId="2" fontId="19" fillId="0" borderId="31" xfId="0" applyNumberFormat="1" applyFont="1" applyFill="1" applyBorder="1" applyAlignment="1">
      <alignment horizontal="right"/>
    </xf>
    <xf numFmtId="172" fontId="19" fillId="0" borderId="31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39" fontId="19" fillId="16" borderId="48" xfId="0" applyNumberFormat="1" applyFont="1" applyFill="1" applyBorder="1" applyAlignment="1" applyProtection="1">
      <alignment horizontal="center" vertical="center" wrapText="1"/>
      <protection/>
    </xf>
    <xf numFmtId="172" fontId="0" fillId="24" borderId="0" xfId="0" applyNumberFormat="1" applyFill="1" applyAlignment="1">
      <alignment/>
    </xf>
    <xf numFmtId="0" fontId="0" fillId="16" borderId="49" xfId="0" applyFont="1" applyFill="1" applyBorder="1" applyAlignment="1" applyProtection="1">
      <alignment horizontal="center" vertical="center" wrapText="1"/>
      <protection/>
    </xf>
    <xf numFmtId="39" fontId="0" fillId="0" borderId="18" xfId="0" applyNumberFormat="1" applyFont="1" applyBorder="1" applyAlignment="1" applyProtection="1">
      <alignment horizontal="center" vertical="center" wrapText="1"/>
      <protection/>
    </xf>
    <xf numFmtId="172" fontId="19" fillId="0" borderId="33" xfId="0" applyNumberFormat="1" applyFont="1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6" xfId="0" applyFont="1" applyFill="1" applyBorder="1" applyAlignment="1" applyProtection="1">
      <alignment/>
      <protection/>
    </xf>
    <xf numFmtId="0" fontId="19" fillId="0" borderId="25" xfId="0" applyFont="1" applyBorder="1" applyAlignment="1">
      <alignment/>
    </xf>
    <xf numFmtId="0" fontId="18" fillId="24" borderId="0" xfId="0" applyFont="1" applyFill="1" applyBorder="1" applyAlignment="1" applyProtection="1">
      <alignment/>
      <protection/>
    </xf>
    <xf numFmtId="0" fontId="18" fillId="24" borderId="37" xfId="0" applyFont="1" applyFill="1" applyBorder="1" applyAlignment="1" applyProtection="1">
      <alignment/>
      <protection/>
    </xf>
    <xf numFmtId="0" fontId="0" fillId="24" borderId="37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25" xfId="0" applyFont="1" applyFill="1" applyBorder="1" applyAlignment="1" applyProtection="1">
      <alignment/>
      <protection/>
    </xf>
    <xf numFmtId="0" fontId="0" fillId="24" borderId="26" xfId="0" applyFont="1" applyFill="1" applyBorder="1" applyAlignment="1" applyProtection="1">
      <alignment/>
      <protection/>
    </xf>
    <xf numFmtId="0" fontId="18" fillId="24" borderId="38" xfId="0" applyFont="1" applyFill="1" applyBorder="1" applyAlignment="1" applyProtection="1">
      <alignment/>
      <protection/>
    </xf>
    <xf numFmtId="0" fontId="18" fillId="24" borderId="39" xfId="0" applyFont="1" applyFill="1" applyBorder="1" applyAlignment="1" applyProtection="1">
      <alignment/>
      <protection/>
    </xf>
    <xf numFmtId="0" fontId="19" fillId="24" borderId="26" xfId="0" applyFont="1" applyFill="1" applyBorder="1" applyAlignment="1" applyProtection="1">
      <alignment horizontal="left"/>
      <protection/>
    </xf>
    <xf numFmtId="0" fontId="0" fillId="24" borderId="39" xfId="0" applyFont="1" applyFill="1" applyBorder="1" applyAlignment="1" applyProtection="1">
      <alignment/>
      <protection/>
    </xf>
    <xf numFmtId="3" fontId="27" fillId="16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173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9" fillId="22" borderId="22" xfId="0" applyFont="1" applyFill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/>
      <protection locked="0"/>
    </xf>
    <xf numFmtId="0" fontId="19" fillId="6" borderId="22" xfId="0" applyFont="1" applyFill="1" applyBorder="1" applyAlignment="1" applyProtection="1">
      <alignment horizontal="center" vertical="center" wrapText="1"/>
      <protection/>
    </xf>
    <xf numFmtId="0" fontId="19" fillId="6" borderId="34" xfId="0" applyFont="1" applyFill="1" applyBorder="1" applyAlignment="1">
      <alignment horizontal="right" vertical="center"/>
    </xf>
    <xf numFmtId="3" fontId="0" fillId="0" borderId="45" xfId="0" applyNumberFormat="1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0" fillId="6" borderId="22" xfId="0" applyFont="1" applyFill="1" applyBorder="1" applyAlignment="1" applyProtection="1">
      <alignment horizontal="center" vertical="center" wrapText="1"/>
      <protection/>
    </xf>
    <xf numFmtId="0" fontId="19" fillId="6" borderId="11" xfId="0" applyFont="1" applyFill="1" applyBorder="1" applyAlignment="1">
      <alignment horizontal="right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9525</xdr:colOff>
      <xdr:row>33</xdr:row>
      <xdr:rowOff>200025</xdr:rowOff>
    </xdr:to>
    <xdr:sp fLocksText="0">
      <xdr:nvSpPr>
        <xdr:cNvPr id="1" name="Text 13"/>
        <xdr:cNvSpPr txBox="1">
          <a:spLocks noChangeArrowheads="1"/>
        </xdr:cNvSpPr>
      </xdr:nvSpPr>
      <xdr:spPr>
        <a:xfrm>
          <a:off x="7810500" y="67532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35</xdr:row>
      <xdr:rowOff>0</xdr:rowOff>
    </xdr:from>
    <xdr:to>
      <xdr:col>11</xdr:col>
      <xdr:colOff>47625</xdr:colOff>
      <xdr:row>35</xdr:row>
      <xdr:rowOff>200025</xdr:rowOff>
    </xdr:to>
    <xdr:sp fLocksText="0">
      <xdr:nvSpPr>
        <xdr:cNvPr id="2" name="Text 14"/>
        <xdr:cNvSpPr txBox="1">
          <a:spLocks noChangeArrowheads="1"/>
        </xdr:cNvSpPr>
      </xdr:nvSpPr>
      <xdr:spPr>
        <a:xfrm>
          <a:off x="16602075" y="7181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6"/>
  <sheetViews>
    <sheetView tabSelected="1" zoomScale="85" zoomScaleNormal="85" zoomScalePageLayoutView="0" workbookViewId="0" topLeftCell="A37">
      <selection activeCell="E62" sqref="E62"/>
    </sheetView>
  </sheetViews>
  <sheetFormatPr defaultColWidth="11.421875" defaultRowHeight="12.75"/>
  <cols>
    <col min="1" max="1" width="2.8515625" style="1" customWidth="1"/>
    <col min="2" max="2" width="87.140625" style="1" customWidth="1"/>
    <col min="3" max="3" width="22.140625" style="1" customWidth="1"/>
    <col min="4" max="4" width="5.00390625" style="1" customWidth="1"/>
    <col min="5" max="5" width="30.57421875" style="1" customWidth="1"/>
    <col min="6" max="6" width="20.57421875" style="1" customWidth="1"/>
    <col min="7" max="7" width="26.140625" style="1" customWidth="1"/>
    <col min="8" max="8" width="19.7109375" style="1" customWidth="1"/>
    <col min="9" max="10" width="17.57421875" style="1" customWidth="1"/>
    <col min="11" max="11" width="0" style="1" hidden="1" customWidth="1"/>
    <col min="12" max="16384" width="11.421875" style="1" customWidth="1"/>
  </cols>
  <sheetData>
    <row r="1" ht="14.25" customHeight="1">
      <c r="K1" s="1" t="s">
        <v>23</v>
      </c>
    </row>
    <row r="2" spans="2:11" ht="15.75" customHeight="1">
      <c r="B2" s="138" t="s">
        <v>0</v>
      </c>
      <c r="C2" s="138"/>
      <c r="E2" s="138" t="s">
        <v>0</v>
      </c>
      <c r="F2" s="138"/>
      <c r="G2" s="138"/>
      <c r="H2" s="138"/>
      <c r="I2" s="138"/>
      <c r="K2" s="1" t="s">
        <v>19</v>
      </c>
    </row>
    <row r="3" spans="2:9" ht="15.75" customHeight="1">
      <c r="B3" s="139" t="s">
        <v>1</v>
      </c>
      <c r="C3" s="139"/>
      <c r="E3" s="41" t="s">
        <v>24</v>
      </c>
      <c r="F3" s="42"/>
      <c r="G3" s="43"/>
      <c r="H3" s="43"/>
      <c r="I3" s="44"/>
    </row>
    <row r="4" spans="2:9" ht="15.75" customHeight="1">
      <c r="B4" s="139" t="s">
        <v>2</v>
      </c>
      <c r="C4" s="139"/>
      <c r="E4" s="45" t="s">
        <v>25</v>
      </c>
      <c r="F4" s="45" t="s">
        <v>26</v>
      </c>
      <c r="G4" s="45" t="s">
        <v>27</v>
      </c>
      <c r="H4" s="45" t="s">
        <v>28</v>
      </c>
      <c r="I4" s="45" t="s">
        <v>29</v>
      </c>
    </row>
    <row r="5" spans="2:9" ht="15.75" customHeight="1">
      <c r="B5" s="2" t="s">
        <v>30</v>
      </c>
      <c r="C5" s="46">
        <v>873.6</v>
      </c>
      <c r="E5" s="47" t="s">
        <v>31</v>
      </c>
      <c r="F5" s="48">
        <v>13160</v>
      </c>
      <c r="G5" s="48">
        <v>0</v>
      </c>
      <c r="H5" s="48">
        <v>0</v>
      </c>
      <c r="I5" s="49">
        <f>SUM(F5:H5)</f>
        <v>13160</v>
      </c>
    </row>
    <row r="6" spans="2:9" ht="15.75" customHeight="1">
      <c r="B6" s="2" t="s">
        <v>32</v>
      </c>
      <c r="C6" s="50">
        <v>0</v>
      </c>
      <c r="E6" s="51" t="s">
        <v>33</v>
      </c>
      <c r="F6" s="52">
        <v>1347</v>
      </c>
      <c r="G6" s="52">
        <v>0</v>
      </c>
      <c r="H6" s="52">
        <v>0</v>
      </c>
      <c r="I6" s="53">
        <f>SUM(F6:H6)</f>
        <v>1347</v>
      </c>
    </row>
    <row r="7" spans="2:9" ht="15.75" customHeight="1">
      <c r="B7" s="2" t="s">
        <v>34</v>
      </c>
      <c r="C7" s="50">
        <v>0</v>
      </c>
      <c r="E7" s="51" t="s">
        <v>130</v>
      </c>
      <c r="F7" s="52">
        <v>734.4</v>
      </c>
      <c r="G7" s="52">
        <v>0</v>
      </c>
      <c r="H7" s="52">
        <v>0</v>
      </c>
      <c r="I7" s="53">
        <f>SUM(F7:H7)</f>
        <v>734.4</v>
      </c>
    </row>
    <row r="8" spans="2:9" ht="15.75" customHeight="1">
      <c r="B8" s="142"/>
      <c r="C8" s="142"/>
      <c r="E8" s="51" t="s">
        <v>35</v>
      </c>
      <c r="F8" s="52">
        <v>3798</v>
      </c>
      <c r="G8" s="52">
        <v>0</v>
      </c>
      <c r="H8" s="52">
        <v>0</v>
      </c>
      <c r="I8" s="53">
        <f>SUM(F8:H8)</f>
        <v>3798</v>
      </c>
    </row>
    <row r="9" spans="2:9" ht="15.75" customHeight="1">
      <c r="B9" s="143" t="s">
        <v>3</v>
      </c>
      <c r="C9" s="143"/>
      <c r="E9" s="54" t="s">
        <v>36</v>
      </c>
      <c r="F9" s="55">
        <v>0</v>
      </c>
      <c r="G9" s="55">
        <v>0</v>
      </c>
      <c r="H9" s="55">
        <v>0</v>
      </c>
      <c r="I9" s="56">
        <f>SUM(F9:H9)</f>
        <v>0</v>
      </c>
    </row>
    <row r="10" spans="2:11" ht="15.75" customHeight="1">
      <c r="B10" s="57" t="s">
        <v>37</v>
      </c>
      <c r="C10" s="58">
        <v>20</v>
      </c>
      <c r="F10" s="39"/>
      <c r="G10"/>
      <c r="H10" s="39"/>
      <c r="I10" s="39"/>
      <c r="J10" s="39"/>
      <c r="K10" s="39"/>
    </row>
    <row r="11" spans="2:11" ht="15.75" customHeight="1">
      <c r="B11" s="59" t="s">
        <v>38</v>
      </c>
      <c r="C11" s="60">
        <v>6</v>
      </c>
      <c r="E11" s="33" t="s">
        <v>39</v>
      </c>
      <c r="F11" s="61"/>
      <c r="G11" s="62"/>
      <c r="H11" s="62"/>
      <c r="I11" s="63"/>
      <c r="J11" s="64"/>
      <c r="K11" s="65"/>
    </row>
    <row r="12" spans="2:11" ht="15.75" customHeight="1">
      <c r="B12" s="2" t="s">
        <v>40</v>
      </c>
      <c r="C12" s="4">
        <v>20</v>
      </c>
      <c r="E12" s="35" t="s">
        <v>41</v>
      </c>
      <c r="F12" s="43"/>
      <c r="G12" s="65"/>
      <c r="H12" s="65"/>
      <c r="I12" s="66"/>
      <c r="J12" s="67"/>
      <c r="K12" s="65"/>
    </row>
    <row r="13" spans="2:11" ht="15.75" customHeight="1">
      <c r="B13" s="2" t="s">
        <v>42</v>
      </c>
      <c r="C13" s="4">
        <v>4.5</v>
      </c>
      <c r="E13" s="40" t="s">
        <v>43</v>
      </c>
      <c r="F13" s="68"/>
      <c r="G13" s="68"/>
      <c r="H13" s="68"/>
      <c r="I13" s="69"/>
      <c r="J13" s="64"/>
      <c r="K13" s="65"/>
    </row>
    <row r="14" spans="2:11" ht="15.75" customHeight="1">
      <c r="B14" s="3" t="s">
        <v>44</v>
      </c>
      <c r="C14" s="5">
        <v>0</v>
      </c>
      <c r="E14" s="70" t="s">
        <v>45</v>
      </c>
      <c r="G14" s="39"/>
      <c r="H14" s="39"/>
      <c r="I14" s="39"/>
      <c r="J14" s="39"/>
      <c r="K14" s="39"/>
    </row>
    <row r="15" spans="2:11" ht="15.75" customHeight="1">
      <c r="B15" s="139" t="s">
        <v>46</v>
      </c>
      <c r="C15" s="139"/>
      <c r="E15" s="71" t="s">
        <v>47</v>
      </c>
      <c r="F15" s="52">
        <f>+C55</f>
        <v>2795.2397460245998</v>
      </c>
      <c r="G15" s="39"/>
      <c r="H15"/>
      <c r="I15" s="39"/>
      <c r="J15" s="39"/>
      <c r="K15"/>
    </row>
    <row r="16" spans="2:11" ht="15.75" customHeight="1">
      <c r="B16" s="57" t="s">
        <v>137</v>
      </c>
      <c r="C16" s="137">
        <v>15.12</v>
      </c>
      <c r="E16" s="71"/>
      <c r="F16" s="52"/>
      <c r="G16" s="39"/>
      <c r="H16"/>
      <c r="I16" s="39"/>
      <c r="J16" s="39"/>
      <c r="K16"/>
    </row>
    <row r="17" spans="2:11" ht="15.75" customHeight="1" thickBot="1">
      <c r="B17" s="57" t="s">
        <v>48</v>
      </c>
      <c r="C17" s="58">
        <v>199.09</v>
      </c>
      <c r="E17" s="71" t="s">
        <v>49</v>
      </c>
      <c r="F17" s="52">
        <f>C123</f>
        <v>4324.639596561515</v>
      </c>
      <c r="G17"/>
      <c r="H17" s="39"/>
      <c r="I17" s="39"/>
      <c r="J17" s="39"/>
      <c r="K17" s="39"/>
    </row>
    <row r="18" spans="2:6" ht="15.75" customHeight="1">
      <c r="B18" s="144" t="s">
        <v>4</v>
      </c>
      <c r="C18" s="144"/>
      <c r="E18" s="71" t="s">
        <v>131</v>
      </c>
      <c r="F18" s="52">
        <f>C198</f>
        <v>3652.9366945741344</v>
      </c>
    </row>
    <row r="19" spans="2:11" ht="15.75" customHeight="1" thickBot="1">
      <c r="B19" s="6" t="s">
        <v>50</v>
      </c>
      <c r="C19" s="72">
        <v>5</v>
      </c>
      <c r="E19" s="70" t="s">
        <v>51</v>
      </c>
      <c r="G19" s="39"/>
      <c r="H19" s="39"/>
      <c r="I19" s="39"/>
      <c r="J19" s="39"/>
      <c r="K19"/>
    </row>
    <row r="20" spans="2:11" ht="15.75" customHeight="1">
      <c r="B20" s="73"/>
      <c r="C20" s="74"/>
      <c r="E20" s="1" t="s">
        <v>52</v>
      </c>
      <c r="F20" s="39"/>
      <c r="G20"/>
      <c r="H20" s="39"/>
      <c r="I20" s="39"/>
      <c r="J20" s="39"/>
      <c r="K20" s="39"/>
    </row>
    <row r="21" spans="3:11" ht="28.5" customHeight="1">
      <c r="C21" s="7"/>
      <c r="E21" s="75" t="s">
        <v>53</v>
      </c>
      <c r="F21" s="76" t="s">
        <v>54</v>
      </c>
      <c r="G21" s="76" t="s">
        <v>55</v>
      </c>
      <c r="H21" s="76" t="s">
        <v>56</v>
      </c>
      <c r="I21" s="39"/>
      <c r="J21" s="39"/>
      <c r="K21" s="39"/>
    </row>
    <row r="22" spans="2:11" s="7" customFormat="1" ht="15.75" customHeight="1">
      <c r="B22" s="8" t="s">
        <v>57</v>
      </c>
      <c r="E22" s="77" t="s">
        <v>58</v>
      </c>
      <c r="F22" s="78"/>
      <c r="G22" s="78"/>
      <c r="H22" s="79"/>
      <c r="I22" s="39"/>
      <c r="J22" s="39"/>
      <c r="K22" s="39"/>
    </row>
    <row r="23" spans="2:11" s="7" customFormat="1" ht="15.75" customHeight="1">
      <c r="B23" s="8" t="s">
        <v>59</v>
      </c>
      <c r="C23" s="9"/>
      <c r="E23" s="80" t="s">
        <v>60</v>
      </c>
      <c r="F23" s="81">
        <f>1/600</f>
        <v>0.0016666666666666668</v>
      </c>
      <c r="G23" s="82">
        <f>F15</f>
        <v>2795.2397460245998</v>
      </c>
      <c r="H23" s="83">
        <f>+G23*F23</f>
        <v>4.6587329100409995</v>
      </c>
      <c r="I23" s="39"/>
      <c r="J23" s="39"/>
      <c r="K23" s="39"/>
    </row>
    <row r="24" spans="2:11" s="7" customFormat="1" ht="16.5" customHeight="1">
      <c r="B24" s="84"/>
      <c r="C24" s="9" t="s">
        <v>5</v>
      </c>
      <c r="E24" s="80" t="s">
        <v>49</v>
      </c>
      <c r="F24" s="85">
        <f>1/(600*30)</f>
        <v>5.555555555555556E-05</v>
      </c>
      <c r="G24" s="82">
        <f>F17</f>
        <v>4324.639596561515</v>
      </c>
      <c r="H24" s="83">
        <f>+G24*F24</f>
        <v>0.24025775536452862</v>
      </c>
      <c r="I24" s="39"/>
      <c r="J24" s="39"/>
      <c r="K24" s="39"/>
    </row>
    <row r="25" spans="2:11" s="7" customFormat="1" ht="15.75" customHeight="1">
      <c r="B25" s="140" t="s">
        <v>6</v>
      </c>
      <c r="C25" s="140" t="s">
        <v>61</v>
      </c>
      <c r="E25" s="86"/>
      <c r="F25" s="141" t="s">
        <v>62</v>
      </c>
      <c r="G25" s="141"/>
      <c r="H25" s="87">
        <f>H24+H23</f>
        <v>4.898990665405528</v>
      </c>
      <c r="I25" s="39"/>
      <c r="J25" s="39"/>
      <c r="K25" s="39"/>
    </row>
    <row r="26" spans="2:11" s="7" customFormat="1" ht="15.75" customHeight="1">
      <c r="B26" s="140"/>
      <c r="C26" s="140"/>
      <c r="E26" s="77" t="s">
        <v>63</v>
      </c>
      <c r="F26" s="78"/>
      <c r="G26" s="78"/>
      <c r="H26" s="79"/>
      <c r="I26" s="39"/>
      <c r="J26" s="39"/>
      <c r="K26" s="39"/>
    </row>
    <row r="27" spans="2:11" s="7" customFormat="1" ht="15.75" customHeight="1">
      <c r="B27" s="19" t="s">
        <v>64</v>
      </c>
      <c r="C27" s="24"/>
      <c r="E27" s="80" t="s">
        <v>60</v>
      </c>
      <c r="F27" s="88">
        <f>1/1200</f>
        <v>0.0008333333333333334</v>
      </c>
      <c r="G27" s="89">
        <f>G23</f>
        <v>2795.2397460245998</v>
      </c>
      <c r="H27" s="90">
        <f>+G27*F27</f>
        <v>2.3293664550204998</v>
      </c>
      <c r="I27" s="39"/>
      <c r="J27" s="39"/>
      <c r="K27" s="39"/>
    </row>
    <row r="28" spans="2:11" s="12" customFormat="1" ht="15.75" customHeight="1">
      <c r="B28" s="91" t="s">
        <v>65</v>
      </c>
      <c r="C28" s="20">
        <f>C5</f>
        <v>873.6</v>
      </c>
      <c r="E28" s="80" t="s">
        <v>49</v>
      </c>
      <c r="F28" s="88">
        <f>1/(1200*30)</f>
        <v>2.777777777777778E-05</v>
      </c>
      <c r="G28" s="89">
        <f>+F17</f>
        <v>4324.639596561515</v>
      </c>
      <c r="H28" s="90">
        <f>+G28*F28</f>
        <v>0.12012887768226431</v>
      </c>
      <c r="I28" s="39"/>
      <c r="J28" s="39"/>
      <c r="K28" s="39"/>
    </row>
    <row r="29" spans="2:11" s="12" customFormat="1" ht="15.75" customHeight="1">
      <c r="B29" s="91" t="s">
        <v>66</v>
      </c>
      <c r="C29" s="20">
        <f>C5*C6%</f>
        <v>0</v>
      </c>
      <c r="E29" s="86"/>
      <c r="F29" s="141" t="s">
        <v>67</v>
      </c>
      <c r="G29" s="141"/>
      <c r="H29" s="87">
        <f>H28+H27</f>
        <v>2.449495332702764</v>
      </c>
      <c r="I29" s="39"/>
      <c r="J29" s="39"/>
      <c r="K29" s="39"/>
    </row>
    <row r="30" spans="2:11" s="7" customFormat="1" ht="15.75" customHeight="1">
      <c r="B30" s="13" t="s">
        <v>68</v>
      </c>
      <c r="C30" s="14">
        <f>C5*C7%</f>
        <v>0</v>
      </c>
      <c r="E30" s="77" t="s">
        <v>69</v>
      </c>
      <c r="F30" s="78"/>
      <c r="G30" s="78"/>
      <c r="H30" s="79"/>
      <c r="I30" s="39"/>
      <c r="J30" s="39"/>
      <c r="K30" s="39"/>
    </row>
    <row r="31" spans="2:11" s="7" customFormat="1" ht="15.75" customHeight="1">
      <c r="B31" s="16" t="s">
        <v>70</v>
      </c>
      <c r="C31" s="21">
        <f>SUM(C28:C30)*0.7211</f>
        <v>629.95296</v>
      </c>
      <c r="E31" s="80" t="s">
        <v>60</v>
      </c>
      <c r="F31" s="88">
        <v>0</v>
      </c>
      <c r="G31" s="89">
        <v>0</v>
      </c>
      <c r="H31" s="90">
        <f>+G31*F31</f>
        <v>0</v>
      </c>
      <c r="I31" s="39"/>
      <c r="J31" s="39"/>
      <c r="K31" s="39"/>
    </row>
    <row r="32" spans="2:11" s="7" customFormat="1" ht="15.75" customHeight="1">
      <c r="B32" s="18" t="s">
        <v>7</v>
      </c>
      <c r="C32" s="92">
        <f>SUM(C28:C31)</f>
        <v>1503.55296</v>
      </c>
      <c r="E32" s="80" t="s">
        <v>49</v>
      </c>
      <c r="F32" s="88">
        <v>0</v>
      </c>
      <c r="G32" s="89">
        <v>0</v>
      </c>
      <c r="H32" s="90">
        <f>+G32*F32</f>
        <v>0</v>
      </c>
      <c r="I32" s="39"/>
      <c r="J32" s="39"/>
      <c r="K32" s="39"/>
    </row>
    <row r="33" spans="2:11" s="7" customFormat="1" ht="15.75" customHeight="1">
      <c r="B33" s="19" t="s">
        <v>8</v>
      </c>
      <c r="C33" s="93"/>
      <c r="E33" s="146" t="s">
        <v>71</v>
      </c>
      <c r="F33" s="146"/>
      <c r="G33" s="146"/>
      <c r="H33" s="87">
        <f>H32+H31</f>
        <v>0</v>
      </c>
      <c r="I33" s="39"/>
      <c r="J33" s="39"/>
      <c r="K33" s="39"/>
    </row>
    <row r="34" spans="2:11" s="7" customFormat="1" ht="15.75" customHeight="1">
      <c r="B34" s="13" t="s">
        <v>9</v>
      </c>
      <c r="C34" s="20">
        <f>C10</f>
        <v>20</v>
      </c>
      <c r="E34"/>
      <c r="F34" s="39"/>
      <c r="G34"/>
      <c r="H34" s="39"/>
      <c r="I34"/>
      <c r="J34" s="39"/>
      <c r="K34" s="39"/>
    </row>
    <row r="35" spans="2:11" s="7" customFormat="1" ht="18" customHeight="1">
      <c r="B35" s="16" t="s">
        <v>10</v>
      </c>
      <c r="C35" s="21">
        <f>($C$11*22)-(C28*0.06)</f>
        <v>79.584</v>
      </c>
      <c r="E35" s="145" t="s">
        <v>53</v>
      </c>
      <c r="F35" s="145" t="s">
        <v>54</v>
      </c>
      <c r="G35" s="145" t="s">
        <v>72</v>
      </c>
      <c r="H35" s="145" t="s">
        <v>73</v>
      </c>
      <c r="I35" s="145" t="s">
        <v>74</v>
      </c>
      <c r="J35" s="145" t="s">
        <v>75</v>
      </c>
      <c r="K35" s="145" t="s">
        <v>76</v>
      </c>
    </row>
    <row r="36" spans="2:11" s="7" customFormat="1" ht="15.75" customHeight="1">
      <c r="B36" s="16" t="s">
        <v>11</v>
      </c>
      <c r="C36" s="94">
        <f>$C$12*22</f>
        <v>440</v>
      </c>
      <c r="E36" s="145"/>
      <c r="F36" s="145"/>
      <c r="G36" s="145"/>
      <c r="H36" s="145"/>
      <c r="I36" s="145"/>
      <c r="J36" s="145"/>
      <c r="K36" s="145"/>
    </row>
    <row r="37" spans="2:11" s="7" customFormat="1" ht="15.75" customHeight="1">
      <c r="B37" s="16" t="s">
        <v>12</v>
      </c>
      <c r="C37" s="21">
        <f>+C13</f>
        <v>4.5</v>
      </c>
      <c r="E37" s="71" t="s">
        <v>77</v>
      </c>
      <c r="F37" s="95"/>
      <c r="G37" s="95"/>
      <c r="H37" s="95"/>
      <c r="I37" s="95"/>
      <c r="J37" s="95"/>
      <c r="K37" s="95"/>
    </row>
    <row r="38" spans="2:11" s="7" customFormat="1" ht="15.75" customHeight="1">
      <c r="B38" s="17" t="s">
        <v>78</v>
      </c>
      <c r="C38" s="21">
        <f>C14</f>
        <v>0</v>
      </c>
      <c r="D38" s="96"/>
      <c r="E38" s="97" t="s">
        <v>60</v>
      </c>
      <c r="F38" s="88">
        <f>1/220</f>
        <v>0.004545454545454545</v>
      </c>
      <c r="G38" s="98">
        <v>16</v>
      </c>
      <c r="H38" s="88">
        <f>1/191.4</f>
        <v>0.00522466039707419</v>
      </c>
      <c r="I38" s="99">
        <f>+F38*H38*G38</f>
        <v>0.0003799753016053956</v>
      </c>
      <c r="J38" s="89">
        <f>+G27</f>
        <v>2795.2397460245998</v>
      </c>
      <c r="K38" s="100">
        <f>+J38*I38</f>
        <v>1.0621220655550867</v>
      </c>
    </row>
    <row r="39" spans="2:11" s="7" customFormat="1" ht="15.75" customHeight="1">
      <c r="B39" s="18" t="s">
        <v>13</v>
      </c>
      <c r="C39" s="23">
        <f>SUM(C34:C38)</f>
        <v>544.0840000000001</v>
      </c>
      <c r="D39" s="96"/>
      <c r="E39" s="97" t="s">
        <v>49</v>
      </c>
      <c r="F39" s="88">
        <f>1/(220*30)</f>
        <v>0.00015151515151515152</v>
      </c>
      <c r="G39" s="98">
        <v>16</v>
      </c>
      <c r="H39" s="88">
        <f>1/191.4</f>
        <v>0.00522466039707419</v>
      </c>
      <c r="I39" s="101">
        <f>+F39*H39*G39</f>
        <v>1.2665843386846523E-05</v>
      </c>
      <c r="J39" s="89">
        <f>F17</f>
        <v>4324.639596561515</v>
      </c>
      <c r="K39" s="100">
        <f>+J39*I39</f>
        <v>0.054775207834603275</v>
      </c>
    </row>
    <row r="40" spans="2:11" s="7" customFormat="1" ht="15.75" customHeight="1">
      <c r="B40" s="19" t="s">
        <v>14</v>
      </c>
      <c r="C40" s="20"/>
      <c r="D40" s="96"/>
      <c r="E40" s="102"/>
      <c r="F40" s="103"/>
      <c r="G40" s="103"/>
      <c r="H40" s="103"/>
      <c r="I40" s="103"/>
      <c r="J40" s="104" t="s">
        <v>79</v>
      </c>
      <c r="K40" s="105">
        <f>K39+K38</f>
        <v>1.11689727338969</v>
      </c>
    </row>
    <row r="41" spans="2:11" s="7" customFormat="1" ht="15.75" customHeight="1">
      <c r="B41" s="57" t="s">
        <v>140</v>
      </c>
      <c r="C41" s="20">
        <f>C16</f>
        <v>15.12</v>
      </c>
      <c r="D41" s="96"/>
      <c r="E41" s="102"/>
      <c r="F41" s="103"/>
      <c r="G41" s="103"/>
      <c r="H41" s="103"/>
      <c r="I41" s="103"/>
      <c r="J41" s="104"/>
      <c r="K41" s="105"/>
    </row>
    <row r="42" spans="2:11" s="7" customFormat="1" ht="15.75" customHeight="1">
      <c r="B42" s="13" t="s">
        <v>80</v>
      </c>
      <c r="C42" s="20">
        <f>C17</f>
        <v>199.09</v>
      </c>
      <c r="D42" s="96"/>
      <c r="E42" s="71" t="s">
        <v>81</v>
      </c>
      <c r="F42" s="95"/>
      <c r="G42" s="106"/>
      <c r="H42" s="95"/>
      <c r="I42" s="95"/>
      <c r="J42" s="95"/>
      <c r="K42" s="95"/>
    </row>
    <row r="43" spans="2:11" s="7" customFormat="1" ht="15.75" customHeight="1">
      <c r="B43" s="18" t="s">
        <v>15</v>
      </c>
      <c r="C43" s="22">
        <f>SUM(C41:C42)</f>
        <v>214.21</v>
      </c>
      <c r="D43" s="96"/>
      <c r="E43" s="97" t="s">
        <v>132</v>
      </c>
      <c r="F43" s="88">
        <f>1/110</f>
        <v>0.00909090909090909</v>
      </c>
      <c r="G43" s="98">
        <v>8</v>
      </c>
      <c r="H43" s="88">
        <f>1/(191.4*6)</f>
        <v>0.0008707767328456983</v>
      </c>
      <c r="I43" s="101">
        <f>+F43*H43*G43</f>
        <v>6.33292169342326E-05</v>
      </c>
      <c r="J43" s="89">
        <f>F18</f>
        <v>3652.9366945741344</v>
      </c>
      <c r="K43" s="100">
        <f>+J43*I43</f>
        <v>0.23133762037770392</v>
      </c>
    </row>
    <row r="44" spans="2:11" s="7" customFormat="1" ht="15.75" customHeight="1">
      <c r="B44" s="10" t="s">
        <v>16</v>
      </c>
      <c r="C44" s="11"/>
      <c r="E44" s="97" t="s">
        <v>49</v>
      </c>
      <c r="F44" s="88">
        <f>1/(110*4)</f>
        <v>0.0022727272727272726</v>
      </c>
      <c r="G44" s="98">
        <f>8</f>
        <v>8</v>
      </c>
      <c r="H44" s="88">
        <f>1/(6*191.4)</f>
        <v>0.0008707767328456983</v>
      </c>
      <c r="I44" s="101">
        <f>+F44*H44*G44</f>
        <v>1.583230423355815E-05</v>
      </c>
      <c r="J44" s="89">
        <f>F17</f>
        <v>4324.639596561515</v>
      </c>
      <c r="K44" s="100">
        <f>+J44*I44</f>
        <v>0.06846900979325407</v>
      </c>
    </row>
    <row r="45" spans="1:256" s="7" customFormat="1" ht="15.75" customHeight="1">
      <c r="A45" s="15"/>
      <c r="B45" s="16" t="s">
        <v>82</v>
      </c>
      <c r="C45" s="107">
        <f>(SUM($C$32+$C$39+$C$43))*5.31%</f>
        <v>120.10407357599998</v>
      </c>
      <c r="E45" s="103"/>
      <c r="F45" s="103"/>
      <c r="G45" s="103"/>
      <c r="H45" s="103"/>
      <c r="I45" s="103"/>
      <c r="J45" s="104" t="s">
        <v>83</v>
      </c>
      <c r="K45" s="108">
        <f>K44+K43</f>
        <v>0.299806630170958</v>
      </c>
      <c r="IO45" s="15"/>
      <c r="IP45" s="15"/>
      <c r="IQ45" s="15"/>
      <c r="IR45" s="15"/>
      <c r="IS45" s="15"/>
      <c r="IT45" s="15"/>
      <c r="IU45" s="15"/>
      <c r="IV45" s="15"/>
    </row>
    <row r="46" spans="1:256" s="7" customFormat="1" ht="15.75" customHeight="1">
      <c r="A46" s="15"/>
      <c r="B46" s="17" t="s">
        <v>84</v>
      </c>
      <c r="C46" s="107">
        <f>(SUM($C$32+$C$39+$C$43+$C$45))*7.2%</f>
        <v>171.500474417472</v>
      </c>
      <c r="E46" s="39"/>
      <c r="F46" s="39"/>
      <c r="G46" s="39"/>
      <c r="H46" s="39"/>
      <c r="I46" s="39"/>
      <c r="J46" s="39"/>
      <c r="K46" s="39"/>
      <c r="IO46" s="15"/>
      <c r="IP46" s="15"/>
      <c r="IQ46" s="15"/>
      <c r="IR46" s="15"/>
      <c r="IS46" s="15"/>
      <c r="IT46" s="15"/>
      <c r="IU46" s="15"/>
      <c r="IV46" s="15"/>
    </row>
    <row r="47" spans="1:256" s="7" customFormat="1" ht="15.75" customHeight="1">
      <c r="A47" s="15"/>
      <c r="B47" s="18" t="s">
        <v>17</v>
      </c>
      <c r="C47" s="23">
        <f>SUM(C45:C46)</f>
        <v>291.60454799347195</v>
      </c>
      <c r="E47" s="70" t="s">
        <v>85</v>
      </c>
      <c r="F47"/>
      <c r="G47"/>
      <c r="H47"/>
      <c r="I47" s="39"/>
      <c r="J47" s="39"/>
      <c r="K47" s="39"/>
      <c r="IO47" s="15"/>
      <c r="IP47" s="15"/>
      <c r="IQ47" s="15"/>
      <c r="IR47" s="15"/>
      <c r="IS47" s="15"/>
      <c r="IT47" s="15"/>
      <c r="IU47" s="15"/>
      <c r="IV47" s="15"/>
    </row>
    <row r="48" spans="2:11" s="7" customFormat="1" ht="15.75" customHeight="1">
      <c r="B48" s="109" t="s">
        <v>86</v>
      </c>
      <c r="C48" s="110"/>
      <c r="E48" s="147" t="s">
        <v>53</v>
      </c>
      <c r="F48" s="148" t="s">
        <v>87</v>
      </c>
      <c r="G48" s="147" t="s">
        <v>88</v>
      </c>
      <c r="H48" s="148" t="s">
        <v>89</v>
      </c>
      <c r="I48" s="39"/>
      <c r="J48" s="39"/>
      <c r="K48" s="39"/>
    </row>
    <row r="49" spans="2:11" s="7" customFormat="1" ht="15.75" customHeight="1">
      <c r="B49" s="13" t="s">
        <v>90</v>
      </c>
      <c r="C49" s="20">
        <f>C55*0.65%</f>
        <v>18.1690583491599</v>
      </c>
      <c r="E49" s="147"/>
      <c r="F49" s="148"/>
      <c r="G49" s="147"/>
      <c r="H49" s="148"/>
      <c r="I49" s="39"/>
      <c r="J49" s="39"/>
      <c r="K49" s="39"/>
    </row>
    <row r="50" spans="2:11" s="7" customFormat="1" ht="15.75" customHeight="1">
      <c r="B50" s="16" t="s">
        <v>18</v>
      </c>
      <c r="C50" s="21">
        <f>C55*3%</f>
        <v>83.85719238073798</v>
      </c>
      <c r="D50" s="111" t="s">
        <v>19</v>
      </c>
      <c r="E50" s="112" t="s">
        <v>58</v>
      </c>
      <c r="F50" s="113">
        <f>+H25</f>
        <v>4.898990665405528</v>
      </c>
      <c r="G50" s="114">
        <f>+I5</f>
        <v>13160</v>
      </c>
      <c r="H50" s="115">
        <f>+G50*F50</f>
        <v>64470.717156736755</v>
      </c>
      <c r="I50" s="39"/>
      <c r="J50" s="39"/>
      <c r="K50" s="39"/>
    </row>
    <row r="51" spans="2:11" s="7" customFormat="1" ht="15.75" customHeight="1">
      <c r="B51" s="25" t="str">
        <f>K2&amp;C19&amp;K1</f>
        <v>ISSQN - 5%</v>
      </c>
      <c r="C51" s="21">
        <f>$C$19%*C55</f>
        <v>139.76198730123</v>
      </c>
      <c r="D51" s="111" t="s">
        <v>91</v>
      </c>
      <c r="E51" s="71" t="s">
        <v>63</v>
      </c>
      <c r="F51" s="113">
        <f>+H29</f>
        <v>2.449495332702764</v>
      </c>
      <c r="G51" s="114">
        <f>+I6</f>
        <v>1347</v>
      </c>
      <c r="H51" s="115">
        <f>+G51*F51</f>
        <v>3299.4702131506233</v>
      </c>
      <c r="I51" s="39"/>
      <c r="J51" s="39"/>
      <c r="K51" s="39"/>
    </row>
    <row r="52" spans="2:11" s="7" customFormat="1" ht="15.75" customHeight="1">
      <c r="B52" s="18" t="s">
        <v>20</v>
      </c>
      <c r="C52" s="116">
        <f>SUM(C49:C51)</f>
        <v>241.7882380311279</v>
      </c>
      <c r="D52" s="12"/>
      <c r="E52" s="71" t="s">
        <v>77</v>
      </c>
      <c r="F52" s="113">
        <f>+K40</f>
        <v>1.11689727338969</v>
      </c>
      <c r="G52" s="114">
        <f>+I7</f>
        <v>734.4</v>
      </c>
      <c r="H52" s="115">
        <f>+G52*F52</f>
        <v>820.2493575773883</v>
      </c>
      <c r="I52" s="117"/>
      <c r="J52" s="39"/>
      <c r="K52" s="39"/>
    </row>
    <row r="53" spans="2:11" s="7" customFormat="1" ht="15.75" customHeight="1">
      <c r="B53" s="26" t="s">
        <v>21</v>
      </c>
      <c r="C53" s="27">
        <f>SUM(C39,C43,C47,C52)</f>
        <v>1291.6867860245998</v>
      </c>
      <c r="E53" s="71" t="s">
        <v>81</v>
      </c>
      <c r="F53" s="113">
        <f>+K45</f>
        <v>0.299806630170958</v>
      </c>
      <c r="G53" s="114">
        <f>+I8</f>
        <v>3798</v>
      </c>
      <c r="H53" s="115">
        <f>+G53*F53</f>
        <v>1138.6655813892985</v>
      </c>
      <c r="I53" s="39"/>
      <c r="J53" s="39"/>
      <c r="K53" s="39"/>
    </row>
    <row r="54" spans="2:11" s="7" customFormat="1" ht="15.75" customHeight="1">
      <c r="B54" s="118"/>
      <c r="C54" s="28"/>
      <c r="E54" s="71" t="s">
        <v>69</v>
      </c>
      <c r="F54" s="113">
        <f>+H33</f>
        <v>0</v>
      </c>
      <c r="G54" s="114">
        <f>I9</f>
        <v>0</v>
      </c>
      <c r="H54" s="115">
        <f>+G54*F54</f>
        <v>0</v>
      </c>
      <c r="I54" s="39"/>
      <c r="J54" s="39"/>
      <c r="K54" s="39"/>
    </row>
    <row r="55" spans="2:11" s="7" customFormat="1" ht="15.75" customHeight="1">
      <c r="B55" s="29" t="s">
        <v>92</v>
      </c>
      <c r="C55" s="119">
        <f>SUM(C32,C39,C43,C47)/((100-(3.65+$C$19))/100)</f>
        <v>2795.2397460245998</v>
      </c>
      <c r="E55" s="149" t="s">
        <v>141</v>
      </c>
      <c r="F55" s="149"/>
      <c r="G55" s="149"/>
      <c r="H55" s="120">
        <f>SUM(H50:H54)</f>
        <v>69729.10230885407</v>
      </c>
      <c r="I55" s="39"/>
      <c r="J55" s="39"/>
      <c r="K55" s="39"/>
    </row>
    <row r="56" spans="2:11" s="7" customFormat="1" ht="15.75" customHeight="1">
      <c r="B56" s="30" t="s">
        <v>22</v>
      </c>
      <c r="C56" s="31">
        <f>C55/(SUM(C28:C30))</f>
        <v>3.1996791964567306</v>
      </c>
      <c r="E56" s="149" t="s">
        <v>142</v>
      </c>
      <c r="F56" s="149"/>
      <c r="G56" s="149"/>
      <c r="H56" s="120">
        <f>H55*12</f>
        <v>836749.2277062489</v>
      </c>
      <c r="I56" s="39"/>
      <c r="J56" s="39"/>
      <c r="K56" s="65"/>
    </row>
    <row r="57" spans="2:11" s="7" customFormat="1" ht="12.75">
      <c r="B57" s="32"/>
      <c r="C57" s="32"/>
      <c r="E57" s="33" t="s">
        <v>93</v>
      </c>
      <c r="F57" s="62"/>
      <c r="G57" s="62"/>
      <c r="H57" s="62"/>
      <c r="I57" s="62"/>
      <c r="J57" s="121"/>
      <c r="K57" s="65"/>
    </row>
    <row r="58" spans="2:11" s="34" customFormat="1" ht="15.75" customHeight="1">
      <c r="B58" s="33" t="s">
        <v>94</v>
      </c>
      <c r="C58" s="122"/>
      <c r="D58" s="38"/>
      <c r="E58" s="123" t="s">
        <v>95</v>
      </c>
      <c r="F58" s="42"/>
      <c r="G58" s="42"/>
      <c r="H58" s="124"/>
      <c r="I58" s="124"/>
      <c r="J58" s="125"/>
      <c r="K58" s="65"/>
    </row>
    <row r="59" spans="2:11" s="38" customFormat="1" ht="15.75" customHeight="1">
      <c r="B59" s="36" t="s">
        <v>96</v>
      </c>
      <c r="C59" s="126"/>
      <c r="D59" s="127"/>
      <c r="E59" s="37" t="s">
        <v>97</v>
      </c>
      <c r="F59" s="124"/>
      <c r="G59" s="124"/>
      <c r="H59" s="124"/>
      <c r="I59" s="124"/>
      <c r="J59" s="125"/>
      <c r="K59" s="65"/>
    </row>
    <row r="60" spans="2:11" s="38" customFormat="1" ht="15.75" customHeight="1">
      <c r="B60" s="35" t="s">
        <v>98</v>
      </c>
      <c r="C60" s="126"/>
      <c r="D60" s="127"/>
      <c r="E60" s="128" t="s">
        <v>99</v>
      </c>
      <c r="F60" s="124"/>
      <c r="G60" s="124"/>
      <c r="H60" s="124"/>
      <c r="I60" s="124"/>
      <c r="J60" s="125"/>
      <c r="K60" s="65"/>
    </row>
    <row r="61" spans="2:11" s="38" customFormat="1" ht="15.75" customHeight="1">
      <c r="B61" s="37" t="s">
        <v>100</v>
      </c>
      <c r="C61" s="126"/>
      <c r="D61" s="127"/>
      <c r="E61" s="37" t="s">
        <v>101</v>
      </c>
      <c r="F61" s="124"/>
      <c r="G61" s="124"/>
      <c r="H61" s="124"/>
      <c r="I61" s="124"/>
      <c r="J61" s="125"/>
      <c r="K61" s="65"/>
    </row>
    <row r="62" spans="2:11" s="38" customFormat="1" ht="15.75" customHeight="1">
      <c r="B62" s="37" t="s">
        <v>102</v>
      </c>
      <c r="C62" s="126"/>
      <c r="D62" s="127"/>
      <c r="E62" s="128" t="s">
        <v>103</v>
      </c>
      <c r="F62" s="124"/>
      <c r="G62" s="124"/>
      <c r="H62" s="124"/>
      <c r="I62" s="65"/>
      <c r="J62" s="66"/>
      <c r="K62" s="65"/>
    </row>
    <row r="63" spans="2:11" s="7" customFormat="1" ht="15.75" customHeight="1">
      <c r="B63" s="35" t="s">
        <v>104</v>
      </c>
      <c r="C63" s="126"/>
      <c r="D63" s="124"/>
      <c r="E63" s="129" t="s">
        <v>105</v>
      </c>
      <c r="F63" s="130"/>
      <c r="G63" s="130"/>
      <c r="H63" s="130"/>
      <c r="I63" s="130"/>
      <c r="J63" s="131"/>
      <c r="K63" s="65"/>
    </row>
    <row r="64" spans="2:11" s="7" customFormat="1" ht="15.75" customHeight="1">
      <c r="B64" s="35" t="s">
        <v>106</v>
      </c>
      <c r="C64" s="126"/>
      <c r="D64" s="124"/>
      <c r="K64" s="124"/>
    </row>
    <row r="65" spans="2:9" s="7" customFormat="1" ht="15.75" customHeight="1">
      <c r="B65" s="37" t="s">
        <v>107</v>
      </c>
      <c r="C65" s="126"/>
      <c r="D65" s="124"/>
      <c r="E65" s="38"/>
      <c r="F65" s="38"/>
      <c r="G65" s="38"/>
      <c r="H65" s="38"/>
      <c r="I65" s="38"/>
    </row>
    <row r="66" spans="2:9" s="38" customFormat="1" ht="15.75" customHeight="1">
      <c r="B66" s="35" t="s">
        <v>108</v>
      </c>
      <c r="C66" s="126"/>
      <c r="D66" s="127"/>
      <c r="E66" s="7"/>
      <c r="F66" s="7"/>
      <c r="G66" s="7"/>
      <c r="H66" s="7"/>
      <c r="I66" s="7"/>
    </row>
    <row r="67" spans="2:4" s="7" customFormat="1" ht="15.75" customHeight="1">
      <c r="B67" s="37" t="s">
        <v>109</v>
      </c>
      <c r="C67" s="126"/>
      <c r="D67" s="124"/>
    </row>
    <row r="68" spans="2:9" s="7" customFormat="1" ht="15.75" customHeight="1">
      <c r="B68" s="35" t="s">
        <v>110</v>
      </c>
      <c r="C68" s="126"/>
      <c r="D68" s="124"/>
      <c r="F68" s="34"/>
      <c r="G68" s="34"/>
      <c r="H68" s="34"/>
      <c r="I68" s="34"/>
    </row>
    <row r="69" spans="2:5" s="34" customFormat="1" ht="15.75" customHeight="1">
      <c r="B69" s="35" t="s">
        <v>111</v>
      </c>
      <c r="C69" s="126"/>
      <c r="E69" s="7"/>
    </row>
    <row r="70" spans="2:9" s="34" customFormat="1" ht="15.75" customHeight="1">
      <c r="B70" s="35" t="s">
        <v>112</v>
      </c>
      <c r="C70" s="126"/>
      <c r="E70" s="7"/>
      <c r="F70" s="7"/>
      <c r="G70" s="7"/>
      <c r="H70" s="7"/>
      <c r="I70" s="7"/>
    </row>
    <row r="71" spans="2:4" s="7" customFormat="1" ht="15.75" customHeight="1">
      <c r="B71" s="36" t="s">
        <v>113</v>
      </c>
      <c r="C71" s="126"/>
      <c r="D71" s="124"/>
    </row>
    <row r="72" spans="2:4" s="7" customFormat="1" ht="15.75" customHeight="1">
      <c r="B72" s="36" t="s">
        <v>114</v>
      </c>
      <c r="C72" s="126"/>
      <c r="D72" s="124"/>
    </row>
    <row r="73" spans="2:9" s="7" customFormat="1" ht="15.75" customHeight="1">
      <c r="B73" s="132"/>
      <c r="C73" s="133"/>
      <c r="E73" s="1"/>
      <c r="F73" s="1"/>
      <c r="G73" s="1"/>
      <c r="H73" s="1"/>
      <c r="I73" s="1"/>
    </row>
    <row r="74" spans="2:3" ht="11.25">
      <c r="B74" s="7"/>
      <c r="C74" s="7"/>
    </row>
    <row r="77" spans="2:3" ht="12.75" customHeight="1">
      <c r="B77" s="138" t="s">
        <v>0</v>
      </c>
      <c r="C77" s="138"/>
    </row>
    <row r="78" spans="2:3" ht="12.75">
      <c r="B78" s="139" t="s">
        <v>1</v>
      </c>
      <c r="C78" s="139"/>
    </row>
    <row r="79" spans="2:3" ht="12.75">
      <c r="B79" s="139" t="s">
        <v>2</v>
      </c>
      <c r="C79" s="139"/>
    </row>
    <row r="80" spans="2:3" ht="13.5" thickBot="1">
      <c r="B80" s="2" t="s">
        <v>115</v>
      </c>
      <c r="C80" s="46">
        <v>1747.2</v>
      </c>
    </row>
    <row r="81" spans="2:3" ht="12.75">
      <c r="B81" s="2" t="s">
        <v>32</v>
      </c>
      <c r="C81" s="50">
        <v>0</v>
      </c>
    </row>
    <row r="82" spans="2:3" ht="12.75">
      <c r="B82" s="2" t="s">
        <v>34</v>
      </c>
      <c r="C82" s="50">
        <v>0</v>
      </c>
    </row>
    <row r="83" spans="2:3" ht="13.5" thickBot="1">
      <c r="B83" s="3" t="s">
        <v>116</v>
      </c>
      <c r="C83" s="134"/>
    </row>
    <row r="84" spans="2:3" ht="12.75">
      <c r="B84" s="143" t="s">
        <v>3</v>
      </c>
      <c r="C84" s="143"/>
    </row>
    <row r="85" spans="2:3" ht="12.75">
      <c r="B85" s="57" t="s">
        <v>117</v>
      </c>
      <c r="C85" s="58">
        <v>20</v>
      </c>
    </row>
    <row r="86" spans="2:3" ht="12.75">
      <c r="B86" s="59" t="s">
        <v>118</v>
      </c>
      <c r="C86" s="60">
        <v>6</v>
      </c>
    </row>
    <row r="87" spans="2:3" ht="12.75">
      <c r="B87" s="2" t="s">
        <v>119</v>
      </c>
      <c r="C87" s="4">
        <v>20</v>
      </c>
    </row>
    <row r="88" spans="2:3" ht="12.75">
      <c r="B88" s="2" t="s">
        <v>120</v>
      </c>
      <c r="C88" s="4">
        <v>4.5</v>
      </c>
    </row>
    <row r="89" spans="2:3" ht="12.75">
      <c r="B89" s="3" t="s">
        <v>138</v>
      </c>
      <c r="C89" s="5">
        <v>0.63</v>
      </c>
    </row>
    <row r="90" spans="2:3" ht="12.75">
      <c r="B90" s="144" t="s">
        <v>4</v>
      </c>
      <c r="C90" s="144"/>
    </row>
    <row r="91" spans="2:3" ht="12.75">
      <c r="B91" s="6" t="s">
        <v>50</v>
      </c>
      <c r="C91" s="72">
        <v>5</v>
      </c>
    </row>
    <row r="92" spans="2:3" ht="12.75">
      <c r="B92" s="135"/>
      <c r="C92" s="136"/>
    </row>
    <row r="93" spans="2:3" ht="12">
      <c r="B93" s="73"/>
      <c r="C93" s="74"/>
    </row>
    <row r="94" spans="2:3" ht="15.75">
      <c r="B94" s="8" t="s">
        <v>57</v>
      </c>
      <c r="C94" s="7"/>
    </row>
    <row r="95" spans="2:3" ht="15.75">
      <c r="B95" s="8" t="s">
        <v>121</v>
      </c>
      <c r="C95" s="9" t="s">
        <v>5</v>
      </c>
    </row>
    <row r="96" spans="2:3" ht="15.75">
      <c r="B96" s="8"/>
      <c r="C96" s="9"/>
    </row>
    <row r="97" spans="2:3" ht="12.75" customHeight="1">
      <c r="B97" s="140" t="s">
        <v>6</v>
      </c>
      <c r="C97" s="140" t="s">
        <v>61</v>
      </c>
    </row>
    <row r="98" spans="2:3" ht="11.25">
      <c r="B98" s="140"/>
      <c r="C98" s="140"/>
    </row>
    <row r="99" spans="2:3" ht="12.75">
      <c r="B99" s="19" t="s">
        <v>64</v>
      </c>
      <c r="C99" s="24"/>
    </row>
    <row r="100" spans="2:3" ht="12.75">
      <c r="B100" s="91" t="s">
        <v>65</v>
      </c>
      <c r="C100" s="20">
        <f>C80</f>
        <v>1747.2</v>
      </c>
    </row>
    <row r="101" spans="2:3" ht="12.75">
      <c r="B101" s="91" t="s">
        <v>66</v>
      </c>
      <c r="C101" s="20">
        <f>C80*C82%</f>
        <v>0</v>
      </c>
    </row>
    <row r="102" spans="2:3" ht="12.75">
      <c r="B102" s="13" t="s">
        <v>68</v>
      </c>
      <c r="C102" s="14">
        <f>C80*C82%</f>
        <v>0</v>
      </c>
    </row>
    <row r="103" spans="2:3" ht="12.75">
      <c r="B103" s="16" t="s">
        <v>70</v>
      </c>
      <c r="C103" s="21">
        <f>SUM(C100:C102)*0.7211</f>
        <v>1259.90592</v>
      </c>
    </row>
    <row r="104" spans="2:3" ht="12.75">
      <c r="B104" s="18" t="s">
        <v>7</v>
      </c>
      <c r="C104" s="92">
        <f>SUM(C100:C103)</f>
        <v>3007.10592</v>
      </c>
    </row>
    <row r="105" spans="2:3" ht="12.75">
      <c r="B105" s="19" t="s">
        <v>8</v>
      </c>
      <c r="C105" s="93"/>
    </row>
    <row r="106" spans="2:3" ht="12.75">
      <c r="B106" s="13" t="s">
        <v>9</v>
      </c>
      <c r="C106" s="20">
        <f>C85</f>
        <v>20</v>
      </c>
    </row>
    <row r="107" spans="2:3" ht="12.75">
      <c r="B107" s="16" t="s">
        <v>10</v>
      </c>
      <c r="C107" s="21">
        <f>($C$86*22)-(C100*0.06)</f>
        <v>27.168000000000006</v>
      </c>
    </row>
    <row r="108" spans="2:3" ht="12.75">
      <c r="B108" s="16" t="s">
        <v>11</v>
      </c>
      <c r="C108" s="94">
        <f>$C$87*22</f>
        <v>440</v>
      </c>
    </row>
    <row r="109" spans="2:3" ht="12" customHeight="1">
      <c r="B109" s="16" t="s">
        <v>12</v>
      </c>
      <c r="C109" s="21">
        <f>+C88</f>
        <v>4.5</v>
      </c>
    </row>
    <row r="110" spans="2:3" ht="12" customHeight="1">
      <c r="B110" s="17" t="s">
        <v>139</v>
      </c>
      <c r="C110" s="21">
        <f>C89</f>
        <v>0.63</v>
      </c>
    </row>
    <row r="111" spans="2:3" ht="12.75">
      <c r="B111" s="18" t="s">
        <v>13</v>
      </c>
      <c r="C111" s="23">
        <f>SUM(C106:C110)</f>
        <v>492.298</v>
      </c>
    </row>
    <row r="112" spans="2:3" ht="12.75">
      <c r="B112" s="10" t="s">
        <v>16</v>
      </c>
      <c r="C112" s="11"/>
    </row>
    <row r="113" spans="2:3" ht="12.75">
      <c r="B113" s="16" t="s">
        <v>82</v>
      </c>
      <c r="C113" s="107">
        <f>(SUM($C$104+$C$111))*5.31%</f>
        <v>185.81834815199997</v>
      </c>
    </row>
    <row r="114" spans="2:3" ht="12.75">
      <c r="B114" s="17" t="s">
        <v>84</v>
      </c>
      <c r="C114" s="107">
        <f>(SUM($C$104+$C$111+$C$113))*7.2%</f>
        <v>265.336003306944</v>
      </c>
    </row>
    <row r="115" spans="2:3" ht="12.75">
      <c r="B115" s="18" t="s">
        <v>17</v>
      </c>
      <c r="C115" s="23">
        <f>SUM(C113:C114)</f>
        <v>451.154351458944</v>
      </c>
    </row>
    <row r="116" spans="2:3" ht="12.75">
      <c r="B116" s="109" t="s">
        <v>86</v>
      </c>
      <c r="C116" s="110"/>
    </row>
    <row r="117" spans="2:3" ht="12.75">
      <c r="B117" s="13" t="s">
        <v>90</v>
      </c>
      <c r="C117" s="20">
        <f>C123*0.65%</f>
        <v>28.11015737764985</v>
      </c>
    </row>
    <row r="118" spans="2:3" ht="12.75">
      <c r="B118" s="16" t="s">
        <v>18</v>
      </c>
      <c r="C118" s="21">
        <f>C123*3%</f>
        <v>129.73918789684544</v>
      </c>
    </row>
    <row r="119" spans="2:3" ht="12.75">
      <c r="B119" s="16" t="str">
        <f>K2&amp;C19&amp;K1</f>
        <v>ISSQN - 5%</v>
      </c>
      <c r="C119" s="21">
        <f>$C$91%*C123</f>
        <v>216.23197982807574</v>
      </c>
    </row>
    <row r="120" spans="2:3" ht="12.75">
      <c r="B120" s="18" t="s">
        <v>20</v>
      </c>
      <c r="C120" s="116">
        <f>SUM(C117:C119)</f>
        <v>374.081325102571</v>
      </c>
    </row>
    <row r="121" spans="2:3" ht="13.5" customHeight="1">
      <c r="B121" s="26" t="s">
        <v>21</v>
      </c>
      <c r="C121" s="27">
        <f>SUM(C111,C115,C120)</f>
        <v>1317.533676561515</v>
      </c>
    </row>
    <row r="122" spans="2:3" ht="12.75">
      <c r="B122" s="118"/>
      <c r="C122" s="28"/>
    </row>
    <row r="123" spans="2:3" ht="12.75">
      <c r="B123" s="29" t="s">
        <v>92</v>
      </c>
      <c r="C123" s="119">
        <f>SUM(C104,C111,C115)/((100-(3.65+$C$91))/100)</f>
        <v>4324.639596561515</v>
      </c>
    </row>
    <row r="124" spans="2:3" ht="12.75">
      <c r="B124" s="30" t="s">
        <v>22</v>
      </c>
      <c r="C124" s="31">
        <f>C123/(SUM(C100:C102))</f>
        <v>2.4751829192774237</v>
      </c>
    </row>
    <row r="125" spans="2:3" ht="12.75">
      <c r="B125" s="32"/>
      <c r="C125" s="32"/>
    </row>
    <row r="126" spans="2:3" ht="12.75">
      <c r="B126" s="33" t="s">
        <v>122</v>
      </c>
      <c r="C126" s="122"/>
    </row>
    <row r="127" spans="2:3" ht="12.75">
      <c r="B127" s="36" t="s">
        <v>96</v>
      </c>
      <c r="C127" s="126"/>
    </row>
    <row r="128" spans="2:3" ht="12.75">
      <c r="B128" s="35" t="s">
        <v>98</v>
      </c>
      <c r="C128" s="126"/>
    </row>
    <row r="129" spans="2:3" ht="12.75">
      <c r="B129" s="37" t="s">
        <v>100</v>
      </c>
      <c r="C129" s="126"/>
    </row>
    <row r="130" spans="2:3" ht="12.75">
      <c r="B130" s="37" t="s">
        <v>123</v>
      </c>
      <c r="C130" s="126"/>
    </row>
    <row r="131" spans="2:3" ht="12.75">
      <c r="B131" s="128" t="s">
        <v>124</v>
      </c>
      <c r="C131" s="126"/>
    </row>
    <row r="132" spans="2:3" ht="12.75">
      <c r="B132" s="37" t="s">
        <v>125</v>
      </c>
      <c r="C132" s="126"/>
    </row>
    <row r="133" spans="2:3" ht="12.75">
      <c r="B133" s="35" t="s">
        <v>126</v>
      </c>
      <c r="C133" s="126"/>
    </row>
    <row r="134" spans="2:3" ht="12.75">
      <c r="B134" s="35" t="s">
        <v>127</v>
      </c>
      <c r="C134" s="126"/>
    </row>
    <row r="135" spans="2:3" ht="12.75">
      <c r="B135" s="37" t="s">
        <v>128</v>
      </c>
      <c r="C135" s="126"/>
    </row>
    <row r="136" spans="2:3" ht="12.75">
      <c r="B136" s="35" t="s">
        <v>129</v>
      </c>
      <c r="C136" s="126"/>
    </row>
    <row r="137" spans="2:3" ht="12.75">
      <c r="B137" s="35" t="s">
        <v>110</v>
      </c>
      <c r="C137" s="126"/>
    </row>
    <row r="138" spans="2:3" ht="12.75">
      <c r="B138" s="35" t="s">
        <v>111</v>
      </c>
      <c r="C138" s="126"/>
    </row>
    <row r="139" spans="2:3" ht="12.75">
      <c r="B139" s="35" t="s">
        <v>112</v>
      </c>
      <c r="C139" s="126"/>
    </row>
    <row r="140" spans="2:3" ht="12.75">
      <c r="B140" s="36" t="s">
        <v>113</v>
      </c>
      <c r="C140" s="126"/>
    </row>
    <row r="141" spans="2:3" ht="12.75">
      <c r="B141" s="36" t="s">
        <v>114</v>
      </c>
      <c r="C141" s="126"/>
    </row>
    <row r="142" spans="2:3" ht="12.75">
      <c r="B142" s="132"/>
      <c r="C142" s="133"/>
    </row>
    <row r="144" ht="12" thickBot="1"/>
    <row r="145" spans="2:3" ht="13.5" thickBot="1">
      <c r="B145" s="138" t="s">
        <v>0</v>
      </c>
      <c r="C145" s="138"/>
    </row>
    <row r="146" spans="2:3" ht="13.5" thickBot="1">
      <c r="B146" s="139" t="s">
        <v>1</v>
      </c>
      <c r="C146" s="139"/>
    </row>
    <row r="147" spans="2:3" ht="12.75">
      <c r="B147" s="139" t="s">
        <v>2</v>
      </c>
      <c r="C147" s="139"/>
    </row>
    <row r="148" spans="2:3" ht="13.5" thickBot="1">
      <c r="B148" s="2" t="s">
        <v>133</v>
      </c>
      <c r="C148" s="46">
        <v>1035.75</v>
      </c>
    </row>
    <row r="149" spans="2:3" ht="12.75">
      <c r="B149" s="2" t="s">
        <v>32</v>
      </c>
      <c r="C149" s="50">
        <v>0</v>
      </c>
    </row>
    <row r="150" spans="2:3" ht="12.75">
      <c r="B150" s="2" t="s">
        <v>34</v>
      </c>
      <c r="C150" s="50">
        <v>30</v>
      </c>
    </row>
    <row r="151" spans="2:3" ht="13.5" thickBot="1">
      <c r="B151" s="142"/>
      <c r="C151" s="142"/>
    </row>
    <row r="152" spans="2:3" ht="12.75">
      <c r="B152" s="143" t="s">
        <v>3</v>
      </c>
      <c r="C152" s="143"/>
    </row>
    <row r="153" spans="2:3" ht="12.75">
      <c r="B153" s="57" t="s">
        <v>37</v>
      </c>
      <c r="C153" s="58">
        <v>0</v>
      </c>
    </row>
    <row r="154" spans="2:3" ht="12.75">
      <c r="B154" s="59" t="s">
        <v>38</v>
      </c>
      <c r="C154" s="60">
        <v>6.5</v>
      </c>
    </row>
    <row r="155" spans="2:3" ht="12.75">
      <c r="B155" s="2" t="s">
        <v>40</v>
      </c>
      <c r="C155" s="4">
        <v>20</v>
      </c>
    </row>
    <row r="156" spans="2:3" ht="12.75">
      <c r="B156" s="2" t="s">
        <v>42</v>
      </c>
      <c r="C156" s="4">
        <v>4.5</v>
      </c>
    </row>
    <row r="157" spans="2:3" ht="13.5" thickBot="1">
      <c r="B157" s="3" t="s">
        <v>44</v>
      </c>
      <c r="C157" s="5">
        <v>0</v>
      </c>
    </row>
    <row r="158" spans="2:3" ht="12.75">
      <c r="B158" s="139" t="s">
        <v>46</v>
      </c>
      <c r="C158" s="139"/>
    </row>
    <row r="159" spans="2:3" ht="12.75">
      <c r="B159" s="57" t="s">
        <v>135</v>
      </c>
      <c r="C159" s="137">
        <v>14.49</v>
      </c>
    </row>
    <row r="160" spans="2:3" ht="13.5" thickBot="1">
      <c r="B160" s="57" t="s">
        <v>48</v>
      </c>
      <c r="C160" s="58">
        <v>199.09</v>
      </c>
    </row>
    <row r="161" spans="2:3" ht="12.75">
      <c r="B161" s="144" t="s">
        <v>4</v>
      </c>
      <c r="C161" s="144"/>
    </row>
    <row r="162" spans="2:3" ht="13.5" thickBot="1">
      <c r="B162" s="6" t="s">
        <v>50</v>
      </c>
      <c r="C162" s="72">
        <v>5</v>
      </c>
    </row>
    <row r="163" spans="2:3" ht="12">
      <c r="B163" s="73"/>
      <c r="C163" s="74"/>
    </row>
    <row r="164" ht="11.25">
      <c r="C164" s="7"/>
    </row>
    <row r="165" spans="2:3" ht="15.75">
      <c r="B165" s="8" t="s">
        <v>57</v>
      </c>
      <c r="C165" s="7"/>
    </row>
    <row r="166" spans="2:3" ht="15.75">
      <c r="B166" s="8" t="s">
        <v>134</v>
      </c>
      <c r="C166" s="9"/>
    </row>
    <row r="167" spans="2:3" ht="16.5" thickBot="1">
      <c r="B167" s="84"/>
      <c r="C167" s="9" t="s">
        <v>5</v>
      </c>
    </row>
    <row r="168" spans="2:3" ht="12" thickBot="1">
      <c r="B168" s="140" t="s">
        <v>6</v>
      </c>
      <c r="C168" s="140" t="s">
        <v>61</v>
      </c>
    </row>
    <row r="169" spans="2:3" ht="12" thickBot="1">
      <c r="B169" s="140"/>
      <c r="C169" s="140"/>
    </row>
    <row r="170" spans="2:3" ht="12.75">
      <c r="B170" s="19" t="s">
        <v>64</v>
      </c>
      <c r="C170" s="24"/>
    </row>
    <row r="171" spans="2:3" ht="12.75">
      <c r="B171" s="91" t="s">
        <v>65</v>
      </c>
      <c r="C171" s="20">
        <f>C148</f>
        <v>1035.75</v>
      </c>
    </row>
    <row r="172" spans="2:3" ht="12.75">
      <c r="B172" s="91" t="s">
        <v>66</v>
      </c>
      <c r="C172" s="20">
        <f>C148*C149%</f>
        <v>0</v>
      </c>
    </row>
    <row r="173" spans="2:3" ht="12.75">
      <c r="B173" s="13" t="s">
        <v>68</v>
      </c>
      <c r="C173" s="14">
        <f>C148*C150%</f>
        <v>310.72499999999997</v>
      </c>
    </row>
    <row r="174" spans="2:3" ht="12.75">
      <c r="B174" s="16" t="s">
        <v>70</v>
      </c>
      <c r="C174" s="21">
        <f>SUM(C171:C173)*0.7211</f>
        <v>970.9431224999998</v>
      </c>
    </row>
    <row r="175" spans="2:3" ht="13.5" thickBot="1">
      <c r="B175" s="18" t="s">
        <v>7</v>
      </c>
      <c r="C175" s="92">
        <f>SUM(C171:C174)</f>
        <v>2317.4181224999998</v>
      </c>
    </row>
    <row r="176" spans="2:3" ht="12.75">
      <c r="B176" s="19" t="s">
        <v>8</v>
      </c>
      <c r="C176" s="93"/>
    </row>
    <row r="177" spans="2:3" ht="12.75">
      <c r="B177" s="13" t="s">
        <v>9</v>
      </c>
      <c r="C177" s="20">
        <f>C153</f>
        <v>0</v>
      </c>
    </row>
    <row r="178" spans="2:3" ht="12.75">
      <c r="B178" s="16" t="s">
        <v>10</v>
      </c>
      <c r="C178" s="21">
        <f>($C$11*22)-(C171*0.06)</f>
        <v>69.855</v>
      </c>
    </row>
    <row r="179" spans="2:3" ht="12.75">
      <c r="B179" s="16" t="s">
        <v>11</v>
      </c>
      <c r="C179" s="94">
        <f>$C$12*22</f>
        <v>440</v>
      </c>
    </row>
    <row r="180" spans="2:3" ht="12.75">
      <c r="B180" s="16" t="s">
        <v>12</v>
      </c>
      <c r="C180" s="21">
        <f>+C156</f>
        <v>4.5</v>
      </c>
    </row>
    <row r="181" spans="2:3" ht="12.75">
      <c r="B181" s="17" t="s">
        <v>78</v>
      </c>
      <c r="C181" s="21">
        <f>C157</f>
        <v>0</v>
      </c>
    </row>
    <row r="182" spans="2:3" ht="13.5" thickBot="1">
      <c r="B182" s="18" t="s">
        <v>13</v>
      </c>
      <c r="C182" s="23">
        <f>SUM(C177:C181)</f>
        <v>514.355</v>
      </c>
    </row>
    <row r="183" spans="2:3" ht="12.75">
      <c r="B183" s="19" t="s">
        <v>14</v>
      </c>
      <c r="C183" s="20"/>
    </row>
    <row r="184" spans="2:3" ht="12.75">
      <c r="B184" s="57" t="s">
        <v>136</v>
      </c>
      <c r="C184" s="20">
        <f>C159</f>
        <v>14.49</v>
      </c>
    </row>
    <row r="185" spans="2:3" ht="12.75">
      <c r="B185" s="13" t="s">
        <v>80</v>
      </c>
      <c r="C185" s="20">
        <f>C160</f>
        <v>199.09</v>
      </c>
    </row>
    <row r="186" spans="2:3" ht="13.5" thickBot="1">
      <c r="B186" s="18" t="s">
        <v>15</v>
      </c>
      <c r="C186" s="22">
        <f>SUM(C184:C185)</f>
        <v>213.58</v>
      </c>
    </row>
    <row r="187" spans="2:3" ht="12.75">
      <c r="B187" s="10" t="s">
        <v>16</v>
      </c>
      <c r="C187" s="11"/>
    </row>
    <row r="188" spans="2:3" ht="12.75">
      <c r="B188" s="16" t="s">
        <v>82</v>
      </c>
      <c r="C188" s="107">
        <f>(SUM($C$32+$C$39+$C$43))*5.31%</f>
        <v>120.10407357599998</v>
      </c>
    </row>
    <row r="189" spans="2:3" ht="12.75">
      <c r="B189" s="17" t="s">
        <v>84</v>
      </c>
      <c r="C189" s="107">
        <f>(SUM($C$32+$C$39+$C$43+$C$45))*7.2%</f>
        <v>171.500474417472</v>
      </c>
    </row>
    <row r="190" spans="2:3" ht="13.5" thickBot="1">
      <c r="B190" s="18" t="s">
        <v>17</v>
      </c>
      <c r="C190" s="23">
        <f>SUM(C188:C189)</f>
        <v>291.60454799347195</v>
      </c>
    </row>
    <row r="191" spans="2:3" ht="12.75">
      <c r="B191" s="109" t="s">
        <v>86</v>
      </c>
      <c r="C191" s="110"/>
    </row>
    <row r="192" spans="2:3" ht="12.75">
      <c r="B192" s="13" t="s">
        <v>90</v>
      </c>
      <c r="C192" s="20">
        <f>C198*0.65%</f>
        <v>23.744088514731875</v>
      </c>
    </row>
    <row r="193" spans="2:3" ht="12.75">
      <c r="B193" s="16" t="s">
        <v>18</v>
      </c>
      <c r="C193" s="21">
        <f>C198*3%</f>
        <v>109.58810083722403</v>
      </c>
    </row>
    <row r="194" spans="2:3" ht="12.75">
      <c r="B194" s="25" t="str">
        <f>K145&amp;C162&amp;K144</f>
        <v>5</v>
      </c>
      <c r="C194" s="21">
        <f>$C$19%*C198</f>
        <v>182.64683472870672</v>
      </c>
    </row>
    <row r="195" spans="2:3" ht="13.5" thickBot="1">
      <c r="B195" s="18" t="s">
        <v>20</v>
      </c>
      <c r="C195" s="116">
        <f>SUM(C192:C194)</f>
        <v>315.9790240806626</v>
      </c>
    </row>
    <row r="196" spans="2:3" ht="13.5" thickBot="1">
      <c r="B196" s="26" t="s">
        <v>21</v>
      </c>
      <c r="C196" s="27">
        <f>SUM(C182,C186,C190,C195)</f>
        <v>1335.5185720741347</v>
      </c>
    </row>
    <row r="197" spans="2:3" ht="12.75">
      <c r="B197" s="118"/>
      <c r="C197" s="28"/>
    </row>
    <row r="198" spans="2:3" ht="13.5" thickBot="1">
      <c r="B198" s="29" t="s">
        <v>92</v>
      </c>
      <c r="C198" s="119">
        <f>SUM(C175,C182,C186,C190)/((100-(3.65+$C$19))/100)</f>
        <v>3652.9366945741344</v>
      </c>
    </row>
    <row r="199" spans="2:3" ht="13.5" thickBot="1">
      <c r="B199" s="30" t="s">
        <v>22</v>
      </c>
      <c r="C199" s="31">
        <f>C198/(SUM(C171:C173))</f>
        <v>2.7129628805392856</v>
      </c>
    </row>
    <row r="200" spans="2:3" ht="12.75">
      <c r="B200" s="32"/>
      <c r="C200" s="32"/>
    </row>
    <row r="201" spans="2:3" ht="12.75">
      <c r="B201" s="33" t="s">
        <v>94</v>
      </c>
      <c r="C201" s="122"/>
    </row>
    <row r="202" spans="2:3" ht="12.75">
      <c r="B202" s="36" t="s">
        <v>96</v>
      </c>
      <c r="C202" s="126"/>
    </row>
    <row r="203" spans="2:3" ht="12.75">
      <c r="B203" s="35" t="s">
        <v>98</v>
      </c>
      <c r="C203" s="126"/>
    </row>
    <row r="204" spans="2:3" ht="12.75">
      <c r="B204" s="37" t="s">
        <v>100</v>
      </c>
      <c r="C204" s="126"/>
    </row>
    <row r="205" spans="2:3" ht="12.75">
      <c r="B205" s="37" t="s">
        <v>102</v>
      </c>
      <c r="C205" s="126"/>
    </row>
    <row r="206" spans="2:3" ht="12.75">
      <c r="B206" s="35" t="s">
        <v>104</v>
      </c>
      <c r="C206" s="126"/>
    </row>
    <row r="207" spans="2:3" ht="12.75">
      <c r="B207" s="35" t="s">
        <v>106</v>
      </c>
      <c r="C207" s="126"/>
    </row>
    <row r="208" spans="2:3" ht="12.75">
      <c r="B208" s="37" t="s">
        <v>107</v>
      </c>
      <c r="C208" s="126"/>
    </row>
    <row r="209" spans="2:3" ht="12.75">
      <c r="B209" s="35" t="s">
        <v>108</v>
      </c>
      <c r="C209" s="126"/>
    </row>
    <row r="210" spans="2:3" ht="12.75">
      <c r="B210" s="37" t="s">
        <v>109</v>
      </c>
      <c r="C210" s="126"/>
    </row>
    <row r="211" spans="2:3" ht="12.75">
      <c r="B211" s="35" t="s">
        <v>110</v>
      </c>
      <c r="C211" s="126"/>
    </row>
    <row r="212" spans="2:3" ht="12.75">
      <c r="B212" s="35" t="s">
        <v>111</v>
      </c>
      <c r="C212" s="126"/>
    </row>
    <row r="213" spans="2:3" ht="12.75">
      <c r="B213" s="35" t="s">
        <v>112</v>
      </c>
      <c r="C213" s="126"/>
    </row>
    <row r="214" spans="2:3" ht="12.75">
      <c r="B214" s="36" t="s">
        <v>113</v>
      </c>
      <c r="C214" s="126"/>
    </row>
    <row r="215" spans="2:3" ht="12.75">
      <c r="B215" s="36" t="s">
        <v>114</v>
      </c>
      <c r="C215" s="126"/>
    </row>
    <row r="216" spans="2:3" ht="12.75">
      <c r="B216" s="132"/>
      <c r="C216" s="133"/>
    </row>
  </sheetData>
  <sheetProtection/>
  <mergeCells count="42">
    <mergeCell ref="B161:C161"/>
    <mergeCell ref="B168:B169"/>
    <mergeCell ref="C168:C169"/>
    <mergeCell ref="B145:C145"/>
    <mergeCell ref="B146:C146"/>
    <mergeCell ref="B147:C147"/>
    <mergeCell ref="B151:C151"/>
    <mergeCell ref="B152:C152"/>
    <mergeCell ref="B158:C158"/>
    <mergeCell ref="B84:C84"/>
    <mergeCell ref="B90:C90"/>
    <mergeCell ref="B97:B98"/>
    <mergeCell ref="C97:C98"/>
    <mergeCell ref="E55:G55"/>
    <mergeCell ref="B77:C77"/>
    <mergeCell ref="B78:C78"/>
    <mergeCell ref="B79:C79"/>
    <mergeCell ref="E56:G56"/>
    <mergeCell ref="K35:K36"/>
    <mergeCell ref="E33:G33"/>
    <mergeCell ref="E35:E36"/>
    <mergeCell ref="F35:F36"/>
    <mergeCell ref="G35:G36"/>
    <mergeCell ref="E48:E49"/>
    <mergeCell ref="F48:F49"/>
    <mergeCell ref="G48:G49"/>
    <mergeCell ref="H48:H49"/>
    <mergeCell ref="H35:H36"/>
    <mergeCell ref="F29:G29"/>
    <mergeCell ref="B8:C8"/>
    <mergeCell ref="B9:C9"/>
    <mergeCell ref="B15:C15"/>
    <mergeCell ref="B18:C18"/>
    <mergeCell ref="J35:J36"/>
    <mergeCell ref="I35:I36"/>
    <mergeCell ref="B2:C2"/>
    <mergeCell ref="E2:I2"/>
    <mergeCell ref="B3:C3"/>
    <mergeCell ref="B4:C4"/>
    <mergeCell ref="B25:B26"/>
    <mergeCell ref="C25:C26"/>
    <mergeCell ref="F25:G25"/>
  </mergeCells>
  <dataValidations count="1">
    <dataValidation type="custom" allowBlank="1" showErrorMessage="1" errorTitle="Erro" error="Não é permitido escrever nesta célula" sqref="C83">
      <formula1>"&lt;""""&gt; 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Roman,Normal"&amp;12&amp;A</oddHeader>
    <oddFooter>&amp;C&amp;"Times New Roman,Normal"&amp;12Página &amp;P</oddFooter>
  </headerFooter>
  <rowBreaks count="1" manualBreakCount="1">
    <brk id="5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Inês Gouvea Viana Borges</dc:creator>
  <cp:keywords/>
  <dc:description/>
  <cp:lastModifiedBy>Leonardo de Camargos Martins</cp:lastModifiedBy>
  <dcterms:created xsi:type="dcterms:W3CDTF">2014-08-20T21:00:34Z</dcterms:created>
  <dcterms:modified xsi:type="dcterms:W3CDTF">2014-09-18T17:41:51Z</dcterms:modified>
  <cp:category/>
  <cp:version/>
  <cp:contentType/>
  <cp:contentStatus/>
</cp:coreProperties>
</file>